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ml.chartshapes+xml" PartName="/xl/drawings/drawing4.xml"/>
  <Override ContentType="application/vnd.openxmlformats-officedocument.drawingml.chartshapes+xml" PartName="/xl/drawings/drawing5.xml"/>
  <Override ContentType="application/vnd.openxmlformats-officedocument.drawingml.chartshapes+xml" PartName="/xl/drawings/drawing6.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9065" yWindow="-15" windowWidth="18930" windowHeight="11385" tabRatio="813"/>
  </bookViews>
  <sheets>
    <sheet name="ImportantDisclosures" sheetId="61" r:id="rId1"/>
    <sheet name="CircularReferenceAlert" sheetId="64" r:id="rId2"/>
    <sheet name="CoverSheet" sheetId="1" r:id="rId3"/>
    <sheet name="Financial Statements" sheetId="2" r:id="rId4"/>
    <sheet name="Pro-Forma Segments" sheetId="8" r:id="rId5"/>
    <sheet name="IndexInformation" sheetId="62" r:id="rId6"/>
    <sheet name="ModPubIndex" sheetId="63" r:id="rId7"/>
    <sheet name="__FDSCACHE__" sheetId="34" state="veryHidden"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_FDS_HYPERLINK_TOGGLE_STATE__" hidden="1">"ON"</definedName>
    <definedName name="__FDS_UNIQUE_RANGE_ID_GENERATOR_COUNTER" hidden="1">1</definedName>
    <definedName name="_bdm.00EF85E90FCC48CB89B5E499BF44C5DF.edm" hidden="1">[1]US_Hair_Care_Mkt_Share!$A:$IV</definedName>
    <definedName name="_bdm.02E29E7B1053433EA3CCCBE4E5141596.edm" hidden="1">[2]B1070!$A:$IV</definedName>
    <definedName name="_bdm.03BCCBBF4E634C51A1974A41947EF255.edm" hidden="1">'[3]EM as % of Mix'!$A:$IV</definedName>
    <definedName name="_bdm.03F1E810780B44CEA82D3465DBCC4AA7.edm" hidden="1">[1]IRI_New_Product_Contribution!$A:$IV</definedName>
    <definedName name="_bdm.04E65DB1C8A446AA80D85B8F97C409B6.edm" hidden="1">[3]Resin!$A:$IV</definedName>
    <definedName name="_bdm.06C5157AC91540C9B96C147C16AF3C95.edm" hidden="1">'[1]SHAMPOO LEAD SCHEDULE'!$A:$IV</definedName>
    <definedName name="_bdm.0AD4FEEB22004866A3FD94A1537407EB.edm" localSheetId="3" hidden="1">'Financial Statements'!$A$130:$BF$167</definedName>
    <definedName name="_bdm.0B221B0ADC3E475E844AA347BBC00EEA.edm" localSheetId="3" hidden="1">'Financial Statements'!$A$89:$BF$126</definedName>
    <definedName name="_bdm.0E33CE29F7F84E5BBD40978EFB67E522.edm" hidden="1">'[3]TotalOrgRegres-1Qtr '!$A:$IV</definedName>
    <definedName name="_bdm.0E3629CBDD814EECACC73AF69BB54848.edm" hidden="1">'[3]TUP Org Sales Growth'!$A:$IV</definedName>
    <definedName name="_bdm.0EE8916C3F264745A2676933BD118C09.edm" hidden="1">'Financial Statements'!$1:$1048576</definedName>
    <definedName name="_bdm.0EEA9077374342D788B7E33314189AB3.edm" hidden="1">'[3]AVP Org Growth'!$A:$IV</definedName>
    <definedName name="_bdm.1123CC7D16EA4153A206A92E8FF9ED14.edm" hidden="1">[4]Leverage_Alcohol!$A:$IV</definedName>
    <definedName name="_bdm.12A6E73624E9495EB03AF383FC4E8B7D.edm" hidden="1">[3]SLDSRegionSales_Bar!$A:$IV</definedName>
    <definedName name="_bdm.144106CA71EA447DA33DD2CE5492D388.edm" hidden="1">'[3]LTM vs NTM Comps'!$A:$IV</definedName>
    <definedName name="_bdm.1493C4E4B35B47F88CD9573DF1708281.edm" hidden="1">'[5]Adj PE '!$A:$IV</definedName>
    <definedName name="_bdm.14FD0B4191F34B3C8EEF6C0A13869432.edm" hidden="1">'[3]2 Year Organic Sales %'!$A:$IV</definedName>
    <definedName name="_bdm.17B726E67A7A4E5CAF33CCACE2EDF7BE.edm" hidden="1">'[1]New Product % total Org Growth'!$A:$IV</definedName>
    <definedName name="_bdm.1830E9F12B6B434687D126B4C9DD5CE1.edm" hidden="1">'[1]Share Repurchase Table'!$A:$IV</definedName>
    <definedName name="_bdm.1C5B058B830443F3973E4AAFA0DFEB9A.edm" hidden="1">[3]TUPNA_New_Trends!$A:$IV</definedName>
    <definedName name="_bdm.1FCCC1740DAB4392B82EE78CAEB7F8CE.edm" hidden="1">'[4]LRB Consumption - 2000'!$A:$IV</definedName>
    <definedName name="_bdm.20C8CC7AFE18408290C8E3B1685C4887.edm" hidden="1">'[3]EM-DM Growth'!$A:$IV</definedName>
    <definedName name="_bdm.23605D8C93D34D9E98FED2C4DAD6A59B.edm" localSheetId="3" hidden="1">'Financial Statements'!$A$130:$AV$167</definedName>
    <definedName name="_bdm.263A6AD7D5E74E0BAF2ABA7BE09CC67D.edm" hidden="1">[1]Hair_Care_Scanner_Data!$A:$IV</definedName>
    <definedName name="_bdm.266FE8E46060488192FF847AC5E6AF79.edm" hidden="1">[1]IRI_Shampoo_Price_Points!$A:$IV</definedName>
    <definedName name="_bdm.268133316AC544CA9CC68D86720F7A1F.edm" hidden="1">'[1]Noxzema Sensitivity'!$A:$IV</definedName>
    <definedName name="_bdm.28A5D3B62A874CE28BE8AC54692563A5.edm" hidden="1">[1]Share_Repurchases!$A:$IV</definedName>
    <definedName name="_bdm.2AAA9235F6D6499BAEF2E92668E68E71.edm" hidden="1">[1]Global_HPC_Select_Cats!$A:$IV</definedName>
    <definedName name="_bdm.2F28351424A34A75A9AE30125E078DD3.edm" hidden="1">'[3]SLDS Region Sales Mix'!$A:$IV</definedName>
    <definedName name="_bdm.32BDC948C7BE41CB8193C1E2A664ACD9.edm" hidden="1">'[3]SLDS Cat Mix_Bar'!$A:$IV</definedName>
    <definedName name="_bdm.366660F8A5C6446795E00A46974DCC9A.edm" hidden="1">'[4]Leverage_Non-Alcohol'!$A:$IV</definedName>
    <definedName name="_bdm.36A36670D4B14AB48DF4F8418BD722E5.edm" hidden="1">'[3]2 Year StackedOrg Sales'!$A:$IV</definedName>
    <definedName name="_bdm.374A031E21164DB1943F15E3587BD455.edm" hidden="1">'[3]2000-2005EPS_OMChange'!$A:$IV</definedName>
    <definedName name="_bdm.39E6B98DA5CD4F58A9DA857005E71EBD.edm" hidden="1">[3]EMToplineBuild!$A:$IV</definedName>
    <definedName name="_bdm.3D3C3CEBFE844F5BB53A6C2F65D6CB51.edm" hidden="1">[1]US_Hair_Care_Share_Change!$A:$IV</definedName>
    <definedName name="_bdm.3D5F3582FA0D4FBBAB015DC6DEC73528.edm" hidden="1">'[1]5 Year CAGR Comp'!$A:$IV</definedName>
    <definedName name="_bdm.42BD946BC2D74ABFB8E861A8ECE42675.edm" hidden="1">[1]Nexxus_Tracked_Channel!$A:$IV</definedName>
    <definedName name="_bdm.46ED9579339F4D64B126F4C653116BCE.edm" hidden="1">'[1]5 YrRevGrowth ex-NexxusTres'!$A:$IV</definedName>
    <definedName name="_bdm.47E5411D05FF4D9C89F5393909B1C7A8.edm" hidden="1">[3]HPC_Net_Debt_EBITDA!$A:$IV</definedName>
    <definedName name="_bdm.4886633828F2455D9CC8CE5DFA40FBB8.edm" hidden="1">'[1]US Top HC Brands'!$A:$IV</definedName>
    <definedName name="_bdm.4A1C6F3928F84CF3A809C2BDCFD6AA5F.edm" hidden="1">[1]New_Product_Contribution!$A:$IV</definedName>
    <definedName name="_bdm.4CD3EC5253724025A412080552FEB7EE.edm" hidden="1">'[1]EPS Accretion % Pro-Forma Deal'!$A:$IV</definedName>
    <definedName name="_bdm.503E554185DE40508DE4E4B60DFBEA46.edm" hidden="1">'[1]L4Q_N4Q Comp'!$A:$IV</definedName>
    <definedName name="_bdm.5308F891207742B9AD43ACBC04182E4D.edm" hidden="1">'[3]TotalOrgRegres-2Qtr '!$A:$IV</definedName>
    <definedName name="_bdm.57126916111E402D8835863C96B73BEF.edm" hidden="1">'[3]EPS vs. Street_and_Company'!$A:$IV</definedName>
    <definedName name="_bdm.59DAE95C438A45BCAAC5BE8FD0F1D4C4.edm" hidden="1">[1]Leverage_Analysis!$A:$IV</definedName>
    <definedName name="_bdm.5C9059AFFF6041CCAD896772A0F71FFE.edm" hidden="1">'[4]LRB Consumption - 2007'!$A:$IV</definedName>
    <definedName name="_bdm.6782448D10994CA1844F10C0A8656F2D.edm" hidden="1">[5]Data!$A:$IV</definedName>
    <definedName name="_bdm.6934E7475E5844D8B5E52E661B6B67A2.edm" localSheetId="3" hidden="1">'Financial Statements'!$A$4:$AV$60</definedName>
    <definedName name="_bdm.697C656096184D4CA40721F4C4DF1B93.edm" hidden="1">'[1]2 Yr forecast'!$A:$IV</definedName>
    <definedName name="_bdm.6FC6924B6A614DF39F6D0D566FC646BF.edm" hidden="1">'[4]Vanilla Coke'!$A:$IV</definedName>
    <definedName name="_bdm.700A12F78E6C4219A0867C67014D7BED.edm" hidden="1">'[1]UK Top HC Brands'!$A:$IV</definedName>
    <definedName name="_bdm.73EFD4C8D7694B35A38A816B86E264D1.edm" hidden="1">'[1]Two-Year Avg Org Growth'!$A:$IV</definedName>
    <definedName name="_bdm.796FA6FFE69F414D9D1D74B43508E6B0.edm" hidden="1">[1]ACV_Brand_Mix!$A:$IV</definedName>
    <definedName name="_bdm.7F3F850E47664098910A3801DD59C364.edm" hidden="1">[3]European_Sales_Op_Margins!$A:$IV</definedName>
    <definedName name="_bdm.7F6DE12A5C2249EA880A1E0921053C28.edm" hidden="1">[1]Top_HC_and_SC_Brands!$A:$IV</definedName>
    <definedName name="_bdm.7F8F98983EEF41E5821C7A84B9CA9695.edm" hidden="1">'[5]EV-EBITDA'!$A:$IV</definedName>
    <definedName name="_bdm.80519E36CFCD489293BEF81ACE401AC1.edm" hidden="1">'[3]SMID HPC 5 Year Org Growth'!$A:$IV</definedName>
    <definedName name="_bdm.825A13E742B54840AAD222D1915E76C8.edm" hidden="1">'[3]ActivevOrgRegres-2Qtr'!$A:$IV</definedName>
    <definedName name="_bdm.8C97900894684A479ACEF011C64778AE.edm" hidden="1">[1]BrandMix!$A:$IV</definedName>
    <definedName name="_bdm.8D2D097FE93048888961FB576E320033.edm" hidden="1">'[1]2 Year Avg Sales '!$A:$IV</definedName>
    <definedName name="_bdm.956A1C5396F041C7BC00B65EA1F5CD35.edm" localSheetId="3" hidden="1">'Financial Statements'!$A$4:$AV$61</definedName>
    <definedName name="_bdm.97302B6469AB47F682FE07A9A3F4740C.edm" hidden="1">'[3]SD&amp;A'!$A:$IV</definedName>
    <definedName name="_bdm.9B051B36A00A44628F6BDE97F8ED6375.edm" hidden="1">'[3]Est Above Consensus'!$A:$IV</definedName>
    <definedName name="_bdm.9B5BDF1A2A9A4D659D8DFB5F60DA8633.edm" hidden="1">'[1]Shampoo_ Price Points'!$A:$IV</definedName>
    <definedName name="_bdm.9CF1EC782CA246C5B743B60E78EFF75A.edm" hidden="1">[1]Private_Label!$A:$IV</definedName>
    <definedName name="_bdm.9F2F660F7F7F4DE0A5EBD2C70D910AFC.edm" hidden="1">[1]Tresemme_VO5_Intl_Growth!$A:$IV</definedName>
    <definedName name="_bdm.A0DC2E73A33540C88C7AF3BE12B55E4A.edm" hidden="1">[1]ACV_vs_Hair_Care_Cat_Growth!$A:$IV</definedName>
    <definedName name="_bdm.A2C62C6C73684AAB94C6DD6416C77A18.edm" hidden="1">'[3]Est Above Consensus (2)'!$A:$IV</definedName>
    <definedName name="_bdm.A7E6106FD34F4E66803D3DCB01EBEE84.edm" hidden="1">'[1]Top Global HairCare markets '!$A:$IV</definedName>
    <definedName name="_bdm.AA4AF3D9DA8249CEA1F6F5D8DC19E532.edm" hidden="1">[3]MarketvsMSOpIncome!$A:$IV</definedName>
    <definedName name="_bdm.AC787102189649FD8B20A26EF81E2C27.edm" hidden="1">'[1]Organic Sales Growth_Geo'!$A:$IV</definedName>
    <definedName name="_bdm.AD126F1FD80B4033ACC826F67368C8AF.edm" hidden="1">[3]TUP_Rev_Mix!$A:$IV</definedName>
    <definedName name="_bdm.B1A3A4783084432AA9198BEDF22C5BC1.edm" hidden="1">[1]Operating_Margin_Walk!$A:$IV</definedName>
    <definedName name="_bdm.B54F25875DE14834B28A283A8EC19248.edm" localSheetId="3" hidden="1">'Financial Statements'!$A$4:$BF$78</definedName>
    <definedName name="_bdm.B6FEF21C1A99419C903F7D7EE9E36415.edm" hidden="1">'[1]HPC Deal Multiples'!$A:$IV</definedName>
    <definedName name="_bdm.B8C97E7226DF4FD084E8053FAE6D7736.edm" hidden="1">[4]Beer_Import_Share_US_Consumptio!$A:$IV</definedName>
    <definedName name="_bdm.BCCFA55F8B684774BC6BE9B015C7E25F.edm" hidden="1">'[1]Share Repurchases'!$A:$IV</definedName>
    <definedName name="_bdm.C0085472E7F74F6B9033B0523F0AD0E8.edm" localSheetId="3" hidden="1">'Financial Statements'!$A$89:$AV$126</definedName>
    <definedName name="_bdm.C2F1A45F72974C3D8306773B5ADB0E9B.edm" hidden="1">[3]OPMSvsConsensus!$A:$IV</definedName>
    <definedName name="_bdm.C4AFDC3253D94BAD97C1DC3C206083CC.edm" hidden="1">[1]Nexxus_Rev_CAGR!$A:$IV</definedName>
    <definedName name="_bdm.C91ECC20E27649C6A25C8DA5EE92B454.edm" hidden="1">[3]TUP_EBIT_Mix!$A:$IV</definedName>
    <definedName name="_bdm.C9216835A701413EA75DD1A8E10F89F3.edm" hidden="1">'[1]Share Repo Commentary '!$A:$IV</definedName>
    <definedName name="_bdm.CAF8EC83B5DA44ABB13AE5B3D599E934.edm" hidden="1">[1]FX_Impact!$A:$IV</definedName>
    <definedName name="_bdm.CD88A3CA784B41CFACA58F739A2FE3A2.edm" hidden="1">'[3]ActivevOrgRegres-1Qtr'!$A:$IV</definedName>
    <definedName name="_bdm.CE89DE488C64433A818AC4BEF536FA83.edm" hidden="1">'[3]Traling 2 Year Org vs MS F-Cast'!$A:$IV</definedName>
    <definedName name="_bdm.D55F7F7C00DA48A493823D53EE3B3D6A.edm" hidden="1">[1]ACV_New_Product_Growth!$A:$IV</definedName>
    <definedName name="_bdm.DC2AE9D32B324418952700C0FC5881DA.edm" hidden="1">'[3]Org Sales Growth'!$A:$IV</definedName>
    <definedName name="_bdm.DCC2EBBBBB4F4F3B806A2FB686AA0F22.edm" hidden="1">[4]CSD_BEER_Demand_Elasticity!$A:$IV</definedName>
    <definedName name="_bdm.E028980278054C7BB954C6C5DE055D3F.edm" hidden="1">[3]TUPNA_Old_Trends!$A:$IV</definedName>
    <definedName name="_bdm.E77F77FFFDE44366B69EDE61AF196E21.edm" hidden="1">'[3]SLDS Category Mix'!$A:$IV</definedName>
    <definedName name="_bdm.EA3BF679C40A4929B98CE6C24BA824F4.edm" hidden="1">'[4]Leverage_HPC Chart'!$A:$IV</definedName>
    <definedName name="_bdm.EA5A43FB4BA84D74BB9331A884DFBCCE.edm" hidden="1">[3]NAmer_Germ_Drag!$A:$IV</definedName>
    <definedName name="_bdm.EBD055E8711D41779CA5FAB70BE427C2.edm" hidden="1">[3]RevMSvsConsensus!$A:$IV</definedName>
    <definedName name="_bdm.ED3F0BDD4FF04E35A3550535DB4DBC27.edm" hidden="1">'[1]Hair Care Dollar Share'!$A:$IV</definedName>
    <definedName name="_bdm.ED8B8E9AA49442F8926C4459F7E654B7.edm" hidden="1">'[3]GermOrgSales_Euro Margins'!$A:$IV</definedName>
    <definedName name="_bdm.EDAAC595A88F41CD897215089EE1CD64.edm" hidden="1">'[3]EM Growth'!$A:$IV</definedName>
    <definedName name="_bdm.F3BA2F29C3364FB1991C362EA5F9BE54.edm" hidden="1">'[1]GM Forecast'!$A:$IV</definedName>
    <definedName name="_bdm.F510911558094C92A8D43AFEF6E51F82.edm" hidden="1">'[1]ACV Topline Org Growth Bar'!$A:$IV</definedName>
    <definedName name="_bdm.F8FA1AB7975746AF91667E70DBDFCD13.edm" localSheetId="3" hidden="1">'Financial Statements'!$A$4:$BF$61</definedName>
    <definedName name="_bdm.FBF11188945645068E7DC3B4FF649052.edm" hidden="1">'[3]Active-Org Sales Gap'!$A:$IV</definedName>
    <definedName name="_reg1">IF([6]BarChart!$B$13=FALSE,"",INDIRECT([6]settings!$I$3))</definedName>
    <definedName name="_reg2">IF([6]BarChart!$B$14=FALSE,"",INDIRECT([6]settings!$I$4))</definedName>
    <definedName name="_reg3">INDIRECT([6]settings!$I$5)</definedName>
    <definedName name="_reg4">INDIRECT([6]settings!$I$6)</definedName>
    <definedName name="_reg5">INDIRECT([6]settings!$I$7)</definedName>
    <definedName name="_reg6">INDIRECT([6]settings!$I$8)</definedName>
    <definedName name="_reg7">INDIRECT([6]settings!$I$9)</definedName>
    <definedName name="ab"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bf_pt">[7]D!$D$26</definedName>
    <definedName name="ACV">[8]Industry_NetDebt_EBITDA!$A$13,[8]Industry_NetDebt_EBITDA!$A$14,[8]Industry_NetDebt_EBITDA!$A$16,[8]Industry_NetDebt_EBITDA!$A$20,[8]Industry_NetDebt_EBITDA!$A$17,[8]Industry_NetDebt_EBITDA!$A$18,[8]Industry_NetDebt_EBITDA!$A$23,[8]Industry_NetDebt_EBITDA!$A$22,[8]Industry_NetDebt_EBITDA!$A$24,[8]Industry_NetDebt_EBITDA!$A$25,[8]Industry_NetDebt_EBITDA!$A$12</definedName>
    <definedName name="AdditionalInstructions">IndexInformation!$B$42</definedName>
    <definedName name="Address" localSheetId="0">ImportantDisclosures!$A$2:$A$2</definedName>
    <definedName name="adfafsdf">INDEX(MktCapLst,[9]Val_MW!$Y$1)</definedName>
    <definedName name="adfs">INDEX(MktCapLst,[9]Val_MW!$Y$1)</definedName>
    <definedName name="AM">[8]Industry_NetDebt_EBITDA!$A$12,[8]Industry_NetDebt_EBITDA!$A$14,[8]Industry_NetDebt_EBITDA!$A$16,[8]Industry_NetDebt_EBITDA!$A$20,[8]Industry_NetDebt_EBITDA!$A$17,[8]Industry_NetDebt_EBITDA!$A$23,[8]Industry_NetDebt_EBITDA!$A$22,[8]Industry_NetDebt_EBITDA!$A$18,[8]Industry_NetDebt_EBITDA!$A$21,[8]Industry_NetDebt_EBITDA!$A$24,[8]Industry_NetDebt_EBITDA!$A$13</definedName>
    <definedName name="ANA" localSheetId="6">ModPubIndex!$A$7</definedName>
    <definedName name="Authors" localSheetId="0">ImportantDisclosures!$A$7</definedName>
    <definedName name="Authors" localSheetId="5">IndexInformation!$B$18</definedName>
    <definedName name="Avg">"Avg"</definedName>
    <definedName name="B11_dataseries1">OFFSET([2]B1070!$D$14,0,0,COUNTA([2]B1070!$D$14:$D$33),1)</definedName>
    <definedName name="B11_xaxisseries1">OFFSET([2]B1070!$C$14,0,0,COUNTA([2]B1070!$C$14:$C$33),1)</definedName>
    <definedName name="Beta">'[8]Valuation-DCF'!$C$37</definedName>
    <definedName name="BEVERAGEANALYSIS">'[10]Raw Data'!$B$4:$W$17</definedName>
    <definedName name="bong_pt">[7]D!$D$41</definedName>
    <definedName name="BRO" localSheetId="6">ModPubIndex!$A$1</definedName>
    <definedName name="Buttons" localSheetId="1">CircularReferenceAlert!$B$13:$B$15</definedName>
    <definedName name="cad_pt">[7]D!$D$7</definedName>
    <definedName name="CENT">[8]Industry_NetDebt_EBITDA!$A$13,[8]Industry_NetDebt_EBITDA!$A$16,[8]Industry_NetDebt_EBITDA!$A$17,[8]Industry_NetDebt_EBITDA!$A$18,[8]Industry_NetDebt_EBITDA!$A$21,[8]Industry_NetDebt_EBITDA!$A$22,[8]Industry_NetDebt_EBITDA!$A$23,[8]Industry_NetDebt_EBITDA!$A$24,[8]Industry_NetDebt_EBITDA!$A$14</definedName>
    <definedName name="CHD">[8]Industry_NetDebt_EBITDA!$A$12,[8]Industry_NetDebt_EBITDA!$A$18,[8]Industry_NetDebt_EBITDA!$A$20,[8]Industry_NetDebt_EBITDA!$A$17,[8]Industry_NetDebt_EBITDA!$A$22,[8]Industry_NetDebt_EBITDA!$A$23,[8]Industry_NetDebt_EBITDA!$A$16</definedName>
    <definedName name="ChtPerf_AsBev">OFFSET([9]RankingBarCharts!$P$4,1,,COUNT([9]RankingBarCharts!$N$5:$N$150),1)</definedName>
    <definedName name="ChtPerf_AsFd">OFFSET([9]RankingBarCharts!$Q$4,1,,COUNT([9]RankingBarCharts!$N$5:$N$150),1)</definedName>
    <definedName name="ChtPerf_AsHPC">OFFSET([9]RankingBarCharts!$R$4,1,,COUNT([9]RankingBarCharts!$N$5:$N$150),1)</definedName>
    <definedName name="ChtPerf_AsTob">OFFSET([9]RankingBarCharts!$S$4,1,,COUNT([9]RankingBarCharts!$N$5:$N$150),1)</definedName>
    <definedName name="ChtPerf_EUBev">OFFSET([9]RankingBarCharts!$T$4,1,,COUNT([9]RankingBarCharts!$N$5:$N$150),1)</definedName>
    <definedName name="ChtPerf_EUFD">OFFSET([9]RankingBarCharts!$U$4,1,,COUNT([9]RankingBarCharts!$N$5:$N$150),1)</definedName>
    <definedName name="ChtPerf_EUHPC">OFFSET([9]RankingBarCharts!$V$4,1,,COUNT([9]RankingBarCharts!$N$5:$N$150),1)</definedName>
    <definedName name="ChtPerf_EUTob">OFFSET([9]RankingBarCharts!$W$4,1,,COUNT([9]RankingBarCharts!$N$5:$N$150),1)</definedName>
    <definedName name="ChtPerf_USBev">OFFSET([9]RankingBarCharts!$X$4,1,,COUNT([9]RankingBarCharts!$N$5:$N$150),1)</definedName>
    <definedName name="ChtPerf_USFd">OFFSET([9]RankingBarCharts!$Y$4,1,,COUNT([9]RankingBarCharts!$N$5:$N$150),1)</definedName>
    <definedName name="ChtPerf_USHPC">OFFSET([9]RankingBarCharts!$Z$4,1,,COUNT([9]RankingBarCharts!$N$5:$N$150),1)</definedName>
    <definedName name="ChtPerf_USTob">OFFSET([9]RankingBarCharts!$AA$4,1,,COUNT([9]RankingBarCharts!$N$5:$N$150),1)</definedName>
    <definedName name="ChtPerf_X">OFFSET([9]RankingBarCharts!$O$4,1,,COUNT([9]RankingBarCharts!$N$5:$N$150),1)</definedName>
    <definedName name="CHTT">[8]Industry_NetDebt_EBITDA!$A$16,[8]Industry_NetDebt_EBITDA!$A$14,[8]Industry_NetDebt_EBITDA!$A$17,[8]Industry_NetDebt_EBITDA!$A$23,[8]Industry_NetDebt_EBITDA!$A$22,[8]Industry_NetDebt_EBITDA!$A$18,[8]Industry_NetDebt_EBITDA!$A$24,[8]Industry_NetDebt_EBITDA!$A$21,[8]Industry_NetDebt_EBITDA!$A$15</definedName>
    <definedName name="Co_Name">OFFSET([6]mware!$A$1,5,0,[6]settings!$N$2)</definedName>
    <definedName name="CopyrightStamp">ImportantDisclosures!$A$27</definedName>
    <definedName name="Core_High">OFFSET([9]CoreMetrics_MW!$AK$3,[9]CoreMetrics_MW!$AL$2,0,-[9]CoreMetrics_MW!$AL$2,1)</definedName>
    <definedName name="Core_Low">OFFSET([9]CoreMetrics_MW!$AJ$3,[9]CoreMetrics_MW!$AL$1,0,-[9]CoreMetrics_MW!$AL$1,1)</definedName>
    <definedName name="CoreValLCell">#N/A</definedName>
    <definedName name="Cost_of_equity">'[8]Valuation-DCF'!$C$38</definedName>
    <definedName name="Cost_of_preferred_stock">'[8]Valuation-DCF'!$C$39</definedName>
    <definedName name="COU" localSheetId="6">ModPubIndex!$A$5</definedName>
    <definedName name="CQEnd" localSheetId="5">IndexInformation!$B$31</definedName>
    <definedName name="csm_pt">[7]D!$D$27</definedName>
    <definedName name="Currency" localSheetId="5">IndexInformation!$B$24</definedName>
    <definedName name="CurrentStockPrice" localSheetId="5">IndexInformation!$B$23</definedName>
    <definedName name="CurrQtrEPS" localSheetId="5">IndexInformation!$B$29</definedName>
    <definedName name="CurrYearEPS" localSheetId="5">IndexInformation!$B$11</definedName>
    <definedName name="CurrYearTotalRevenue" localSheetId="5">IndexInformation!$B$10</definedName>
    <definedName name="CurrYearTotalRevenueActual" localSheetId="5">IndexInformation!$B$32</definedName>
    <definedName name="CUSIP" localSheetId="5">IndexInformation!$B$20</definedName>
    <definedName name="CYEnd" localSheetId="5">IndexInformation!$B$30</definedName>
    <definedName name="dani_pt">[7]D!$D$28</definedName>
    <definedName name="dano_pt">[7]D!$D$8</definedName>
    <definedName name="dataseries4">OFFSET([11]c1!$G$12,0,0,COUNTA([11]c1!$G$12:$G$31),1)</definedName>
    <definedName name="Date" localSheetId="0">ImportantDisclosures!$A$8</definedName>
    <definedName name="Deleted" localSheetId="5">IndexInformation!$B$27</definedName>
    <definedName name="Description" localSheetId="5">IndexInformation!$B$7</definedName>
    <definedName name="Discipline" localSheetId="5">IndexInformation!$B$3</definedName>
    <definedName name="DISCIPLINE" localSheetId="6">ModPubIndex!$A$12</definedName>
    <definedName name="DisclosuresText">ImportantDisclosures!$A$22</definedName>
    <definedName name="Distribution" localSheetId="5">IndexInformation!$B$26</definedName>
    <definedName name="DistTable" localSheetId="0">ImportantDisclosures!#REF!</definedName>
    <definedName name="DistTablePreamble" localSheetId="0">ImportantDisclosures!#REF!</definedName>
    <definedName name="DOCDAT" localSheetId="6">ModPubIndex!$A$2</definedName>
    <definedName name="DOCTIME" localSheetId="6">ModPubIndex!$A$3</definedName>
    <definedName name="DocType" localSheetId="5">IndexInformation!$B$5</definedName>
    <definedName name="ebs_pt">[7]D!$D$40</definedName>
    <definedName name="EMAIL_ALERT" localSheetId="6">ModPubIndex!$A$10</definedName>
    <definedName name="EmailAlert" localSheetId="5">IndexInformation!$B$28</definedName>
    <definedName name="ENR">[8]Industry_NetDebt_EBITDA!$A$12,[8]Industry_NetDebt_EBITDA!$A$14,[8]Industry_NetDebt_EBITDA!$A$16,[8]Industry_NetDebt_EBITDA!$A$20,[8]Industry_NetDebt_EBITDA!$A$17,[8]Industry_NetDebt_EBITDA!$A$23,[8]Industry_NetDebt_EBITDA!$A$22,[8]Industry_NetDebt_EBITDA!$A$24,[8]Industry_NetDebt_EBITDA!$A$18</definedName>
    <definedName name="Enterprise_value">'[8]Valuation-DCF'!$G$56</definedName>
    <definedName name="Equity_percent_of_total_capitalisation">'[8]Valuation-DCF'!$C$44</definedName>
    <definedName name="Equity_risk_premium">'[8]Valuation-DCF'!$C$36</definedName>
    <definedName name="FilterLst">[12]Inputs!$P$1:$P$30</definedName>
    <definedName name="FiveYearGrowthRate" localSheetId="5">IndexInformation!$B$16</definedName>
    <definedName name="FollowingYearEPS" localSheetId="5">IndexInformation!$B$15</definedName>
    <definedName name="FollowingYearTotalRevenue" localSheetId="5">IndexInformation!$B$14</definedName>
    <definedName name="FollowingYearTotalRevenueActual" localSheetId="5">IndexInformation!$B$34</definedName>
    <definedName name="germ">INDEX(MktCapLst,[9]Val_MW!$Y$1)</definedName>
    <definedName name="HELE">[8]Industry_NetDebt_EBITDA!$A$18,[8]Industry_NetDebt_EBITDA!$A$16,[8]Industry_NetDebt_EBITDA!$A$12,[8]Industry_NetDebt_EBITDA!$A$23,[8]Industry_NetDebt_EBITDA!$A$22,[8]Industry_NetDebt_EBITDA!$A$17,[8]Industry_NetDebt_EBITDA!$A$14,[8]Industry_NetDebt_EBITDA!$A$15,[8]Industry_NetDebt_EBITDA!$A$21,[8]Industry_NetDebt_EBITDA!$A$13,[8]Industry_NetDebt_EBITDA!$A$19</definedName>
    <definedName name="help2">INDIRECT(ValShtNm&amp;"!"&amp;ADDRESS(4,COLUMN([9]ScatterCharts!$D$1:$D$65536))&amp;":"&amp; ADDRESS(ROW(INDIRECT(whynot)),COLUMN([9]ScatterCharts!$D$1:$D$65536)))</definedName>
    <definedName name="hey">OFFSET([3]L1071!$X$12,0,0,COUNTIF([3]L1071!$W$12:$W$1231,"&lt;&gt;false"),1)</definedName>
    <definedName name="HL" localSheetId="6">ModPubIndex!$A$8</definedName>
    <definedName name="IND" localSheetId="6">ModPubIndex!$A$9</definedName>
    <definedName name="Industry" localSheetId="0">ImportantDisclosures!$A$12</definedName>
    <definedName name="industry1">OFFSET([6]mware!$A$1,[6]settings!$N$7,[6]settings!$N$16-1,[6]settings!$N$2)</definedName>
    <definedName name="IndustryId">IndexInformation!$B$40</definedName>
    <definedName name="IndustryRating" localSheetId="0">ImportantDisclosures!$A$13</definedName>
    <definedName name="Ip_Factset">OFFSET([9]Inputs!$G$2,,,COUNTA([9]Inputs!$G$2:$G$164),1)</definedName>
    <definedName name="Ip_Ind">OFFSET([9]Inputs!$F$2,,,COUNTA([9]Inputs!$F$2:$F$164),1)</definedName>
    <definedName name="Ip_Index">OFFSET([9]Inputs!$B$2,,,COUNT([9]Inputs!$B$2:$B$164),1)</definedName>
    <definedName name="Ip_Region">OFFSET([9]Inputs!$E$2,,,COUNTA([9]Inputs!$E$2:$E$164),1)</definedName>
    <definedName name="Ip_Ticker">OFFSET([9]Inputs!$C$2,,,COUNTA([9]Inputs!$C$2:$C$164),1)</definedName>
    <definedName name="IQ_ADDIN" hidden="1">"AUTO"</definedName>
    <definedName name="justname" hidden="1">{"summary1",#N/A,FALSE,"K";"summary2",#N/A,FALSE,"K";"USmarket",#N/A,FALSE,"K";"USearnings",#N/A,FALSE,"K"}</definedName>
    <definedName name="KeepVersions" localSheetId="5">IndexInformation!$B$8</definedName>
    <definedName name="labels">OFFSET([6]settings!$AG$1,1,0,[6]settings!$N$2)</definedName>
    <definedName name="LanguageCode">IndexInformation!$B$38</definedName>
    <definedName name="LastCell" localSheetId="0">ImportantDisclosures!$A$22</definedName>
    <definedName name="lastregression"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Latest_net_debt">'[8]Valuation-DCF'!$G$46</definedName>
    <definedName name="lindt_pt">[7]D!$D$29</definedName>
    <definedName name="Linking_2">'Pro-Forma Segments'!$BK$13,'Pro-Forma Segments'!$BA$13,'Pro-Forma Segments'!$BE$13,'Pro-Forma Segments'!$BF$13,'Pro-Forma Segments'!$BE$13</definedName>
    <definedName name="Linking_Range_10">'Financial Statements'!$A$89:$BK$126</definedName>
    <definedName name="Linking_Range_11">'Financial Statements'!$A$130:$BK$167</definedName>
    <definedName name="Linking_Range_13">'Financial Statements'!$A$4:$BK$60</definedName>
    <definedName name="Linking_Range_19">'Financial Statements'!$BE$63:$BE$66</definedName>
    <definedName name="Linking_Range_20">'Pro-Forma Segments'!$CG$260:$CM$267</definedName>
    <definedName name="Linking_Range_21">'Pro-Forma Segments'!$A$5:$AQ$46</definedName>
    <definedName name="Linking_Range_22">'Financial Statements'!$A$4:$BU$78</definedName>
    <definedName name="Linking_Range_23">'Financial Statements'!$A$89:$BU$126</definedName>
    <definedName name="Linking_Range_24">'Financial Statements'!$A$130:$BU$167</definedName>
    <definedName name="Linking_Range_29">'Financial Statements'!$A$1:$BP$78</definedName>
    <definedName name="Linking_Range_3">'Financial Statements'!$A$4:$BF$61</definedName>
    <definedName name="Linking_Range_30">'Financial Statements'!$A$89:$BP$126</definedName>
    <definedName name="Linking_Range_31">'Financial Statements'!$A$130:$BP$167</definedName>
    <definedName name="Linking_Range_4">'Financial Statements'!$A$89:$BF$126</definedName>
    <definedName name="Linking_Range_5">'Financial Statements'!$A$130:$BF$167</definedName>
    <definedName name="Linking_Range_9">'Financial Statements'!$A$4:$BK$78</definedName>
    <definedName name="Linking_Text_1">'Financial Statements'!$BE$66</definedName>
    <definedName name="Linking_Text_2">'Pro-Forma Segments'!$AF$14</definedName>
    <definedName name="Linking_Text_3">'Pro-Forma Segments'!$Z$27</definedName>
    <definedName name="Linking_Text_4">'Financial Statements'!$BE$60</definedName>
    <definedName name="List_of_sheetnames">OFFSET([6]master!$E$2,0,0,1,[6]settings!$N$13)</definedName>
    <definedName name="Long_term_growth">'[8]Valuation-DCF'!$G$32</definedName>
    <definedName name="MacroVersion" localSheetId="5">IndexInformation!$B$1</definedName>
    <definedName name="Marginal_tax_rate">'[8]Valuation-DCF'!$C$34</definedName>
    <definedName name="Market_cap_of_equity">'[8]Valuation-DCF'!$C$40</definedName>
    <definedName name="Market_cap_of_preferred">'[8]Valuation-DCF'!$C$41</definedName>
    <definedName name="MaxChange" localSheetId="1">CircularReferenceAlert!$B$9</definedName>
    <definedName name="MaxIterations" localSheetId="1">CircularReferenceAlert!$B$8</definedName>
    <definedName name="metric1">OFFSET([6]settings!$AM$1,1,0,[6]settings!$N$2)</definedName>
    <definedName name="metric2">OFFSET([6]settings!$AN$1,1,0,[6]settings!$N$2)</definedName>
    <definedName name="MktCap">INDEX(MktCapLst,[9]Val_MW!$Y$1)</definedName>
    <definedName name="MktCapLst">[9]Inputs!$K$2:$K$10</definedName>
    <definedName name="ModelPrice" localSheetId="0">ImportantDisclosures!$A$14</definedName>
    <definedName name="MtCap">10000000000</definedName>
    <definedName name="Multiplier" localSheetId="5">IndexInformation!$B$35</definedName>
    <definedName name="mwaremetrics">OFFSET([6]mware!$A$5,0,0,1,[6]settings!$N$3)</definedName>
    <definedName name="nes_pt">[7]D!$D$9</definedName>
    <definedName name="Net_debt_total_capitalisation">'[8]Valuation-DCF'!$C$46</definedName>
    <definedName name="next"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xt_regression" hidden="1">{"summary1",#N/A,FALSE,"K";"summary2",#N/A,FALSE,"K";"USmarket",#N/A,FALSE,"K";"USearnings",#N/A,FALSE,"K"}</definedName>
    <definedName name="next2">INDEX(MktCapLst,[9]Val_MW!$Y$1)</definedName>
    <definedName name="nextregression">ADDRESS(COUNT([9]ScatterCharts!$A$5:$A$201)+3,COUNTA([9]ScatterCharts!$A$4:$C$4),1,,ValShtNm)</definedName>
    <definedName name="NextYearEPS" localSheetId="5">IndexInformation!$B$13</definedName>
    <definedName name="NextYearTotalRevenue" localSheetId="5">IndexInformation!$B$12</definedName>
    <definedName name="NextYearTotalRevenueActual" localSheetId="5">IndexInformation!$B$33</definedName>
    <definedName name="nn">INDEX(MktCapLst,[9]Val_MW!$Y$1)</definedName>
    <definedName name="No_of_shares_latest">'[8]Valuation-DCF'!$G$45</definedName>
    <definedName name="numi_pt">[7]D!$D$30</definedName>
    <definedName name="ObjectType">IndexInformation!$B$37</definedName>
    <definedName name="orkla_pt">[7]D!$D$42</definedName>
    <definedName name="PANA" localSheetId="6">ModPubIndex!$A$11</definedName>
    <definedName name="parm_pt">[7]D!$D$31</definedName>
    <definedName name="PathName" localSheetId="5">IndexInformation!$B$25</definedName>
    <definedName name="PBH">[8]Industry_NetDebt_EBITDA!$A$16,[8]Industry_NetDebt_EBITDA!$A$15,[8]Industry_NetDebt_EBITDA!$A$12,[8]Industry_NetDebt_EBITDA!$A$17,[8]Industry_NetDebt_EBITDA!$A$23,[8]Industry_NetDebt_EBITDA!$A$22,[8]Industry_NetDebt_EBITDA!$A$18,[8]Industry_NetDebt_EBITDA!$A$24,[8]Industry_NetDebt_EBITDA!$A$21</definedName>
    <definedName name="Perf_High">OFFSET([9]Perf_MW!$AK$3,[9]Perf_MW!$AK$2,,-[9]Perf_MW!$AK$2)</definedName>
    <definedName name="Perf_low">OFFSET([9]Perf_MW!$AJ$3,[9]Perf_MW!$AK$1,,-[9]Perf_MW!$AK$1)</definedName>
    <definedName name="Post_tax_cost_of_debt">'[8]Valuation-DCF'!$C$35</definedName>
    <definedName name="Preferred_percent_of_total_capitalisation">'[8]Valuation-DCF'!$C$45</definedName>
    <definedName name="_xlnm.Print_Area" localSheetId="2">CoverSheet!$A$1:$L$39</definedName>
    <definedName name="_xlnm.Print_Area" localSheetId="3">'Financial Statements'!$A$4:$CJ$78,'Financial Statements'!$A$89:$CJ$126,'Financial Statements'!$A$130:$CJ$168</definedName>
    <definedName name="_xlnm.Print_Area" localSheetId="4">'Pro-Forma Segments'!$BJ$118:$BW$156</definedName>
    <definedName name="_xlnm.Print_Titles" localSheetId="3">'Financial Statements'!$A:$B,'Financial Statements'!$1:$1</definedName>
    <definedName name="_xlnm.Print_Titles" localSheetId="4">'Pro-Forma Segments'!$A:$A,'Pro-Forma Segments'!$1:$3</definedName>
    <definedName name="Private_Label">OFFSET([1]Private_Label!$Z$12,0,0,COUNTIF([1]Private_Label!$Y$12:$Y$1231,"&lt;&gt;false"),1)</definedName>
    <definedName name="PRODUCT" localSheetId="6">ModPubIndex!$A$6</definedName>
    <definedName name="Projected_depreciation_percent_PPE">'[8]Valuation-DCF'!$L$34</definedName>
    <definedName name="Projected_EBITDA_margin">'[8]Valuation-DCF'!$L$32</definedName>
    <definedName name="Projected_NWI_percent_of_sales">'[8]Valuation-DCF'!$L$33</definedName>
    <definedName name="Projected_sales_growth">'[8]Valuation-DCF'!$L$31</definedName>
    <definedName name="PSYM" localSheetId="6">ModPubIndex!$A$4</definedName>
    <definedName name="PublishDate" localSheetId="5">IndexInformation!$B$2</definedName>
    <definedName name="Rating" localSheetId="5">IndexInformation!$B$9</definedName>
    <definedName name="RatingsDefined" localSheetId="0">ImportantDisclosures!$A$21</definedName>
    <definedName name="RatingsDefs" localSheetId="0">ImportantDisclosures!#REF!</definedName>
    <definedName name="ratio">OFFSET([6]settings!$AO$1,1,0,[6]settings!$N$2)</definedName>
    <definedName name="RDEN">[8]Industry_NetDebt_EBITDA!$A$12,[8]Industry_NetDebt_EBITDA!$A$13,[8]Industry_NetDebt_EBITDA!$A$14,[8]Industry_NetDebt_EBITDA!$A$16,[8]Industry_NetDebt_EBITDA!$A$23,[8]Industry_NetDebt_EBITDA!$A$22,[8]Industry_NetDebt_EBITDA!$A$18,[8]Industry_NetDebt_EBITDA!$A$21,[8]Industry_NetDebt_EBITDA!$A$24,[8]Industry_NetDebt_EBITDA!$A$17</definedName>
    <definedName name="RegACDisclosure" localSheetId="0">ImportantDisclosures!#REF!</definedName>
    <definedName name="region1">OFFSET([6]mware!$A$1,[6]settings!$N$7,[6]settings!$N$17-1,[6]settings!$N$2)</definedName>
    <definedName name="region2">OFFSET([6]settings!$AK$1,1,0,[6]settings!$N$2)</definedName>
    <definedName name="ResearchTopic" localSheetId="5">IndexInformation!$B$4</definedName>
    <definedName name="resin">OFFSET([3]Resin!$AA$12,0,0,COUNTIF([3]Resin!$Z$12:$Z$1231,"&lt;&gt;false"),1)</definedName>
    <definedName name="RIC" localSheetId="5">IndexInformation!$B$21</definedName>
    <definedName name="SDA">OFFSET([3]SDA!$AA$12,0,0,COUNTIF([3]SDA!$Z$12:$Z$1231,"&lt;&gt;false"),1)</definedName>
    <definedName name="SECSettlement" localSheetId="0">ImportantDisclosures!#REF!</definedName>
    <definedName name="SEDOL" localSheetId="5">IndexInformation!$B$22</definedName>
    <definedName name="Shareprice">[8]Front!$J$19</definedName>
    <definedName name="SMG">[8]Industry_NetDebt_EBITDA!$A$12:$A$14,[8]Industry_NetDebt_EBITDA!$A$16:$A$17,[8]Industry_NetDebt_EBITDA!$A$18,[8]Industry_NetDebt_EBITDA!$A$20,[8]Industry_NetDebt_EBITDA!$A$21,[8]Industry_NetDebt_EBITDA!$A$22,[8]Industry_NetDebt_EBITDA!$A$24,[8]Industry_NetDebt_EBITDA!$A$25,[8]Industry_NetDebt_EBITDA!$A$23</definedName>
    <definedName name="SortedMetrics">OFFSET([6]settings!$AA$3,0,0,COUNTA([6]settings!$AA$3:$AA$65536),1)</definedName>
    <definedName name="SourceDefined" localSheetId="0">ImportantDisclosures!$A$19</definedName>
    <definedName name="Sp">"       "</definedName>
    <definedName name="SPC">[8]Industry_NetDebt_EBITDA!$A$12,[8]Industry_NetDebt_EBITDA!$A$16,[8]Industry_NetDebt_EBITDA!$A$17,[8]Industry_NetDebt_EBITDA!$A$18,[8]Industry_NetDebt_EBITDA!$A$20,[8]Industry_NetDebt_EBITDA!$A$23,[8]Industry_NetDebt_EBITDA!$A$24,[8]Industry_NetDebt_EBITDA!$A$22</definedName>
    <definedName name="StockRating" localSheetId="0">ImportantDisclosures!$A$11</definedName>
    <definedName name="SubjectCode" localSheetId="5">IndexInformation!$B$6</definedName>
    <definedName name="SubmitterUserId">IndexInformation!$B$39</definedName>
    <definedName name="SUPPRESSED" localSheetId="6">ModPubIndex!$A$13</definedName>
    <definedName name="TargetPrice" localSheetId="0">ImportantDisclosures!$A$15</definedName>
    <definedName name="tate_pt">[7]D!$D$32</definedName>
    <definedName name="TemplateRegion">IndexInformation!$B$36</definedName>
    <definedName name="Terminal_value">'[8]Valuation-DCF'!$G$33</definedName>
    <definedName name="TEST">OFFSET([1]Leverage_Analysis!$AA$12,0,0,COUNTA([1]Leverage_Analysis!$C$12:$C$31),1)</definedName>
    <definedName name="TEST145">OFFSET('[1]Hair Care Dollar Share'!$AB$12,0,0,COUNTIF('[1]Hair Care Dollar Share'!$AA$12:$AA$1231,"&lt;&gt;false"),1)</definedName>
    <definedName name="Ticker" localSheetId="0">ImportantDisclosures!$A$10</definedName>
    <definedName name="ticker">OFFSET([6]mware!$A$1,5,1,[6]settings!$N$2)</definedName>
    <definedName name="ticker1">OFFSET([6]mware!$A$1,[6]settings!$N$7,1,[6]settings!$N$2,6)</definedName>
    <definedName name="TickerRegion">IndexInformation!$B$41</definedName>
    <definedName name="Tickers" localSheetId="5">IndexInformation!$B$19</definedName>
    <definedName name="tickerSkeleton">OFFSET(INDIRECT("Skeleton!$D$" &amp; [6]settings!$N$14),0,0,[6]settings!$N$15,1)</definedName>
    <definedName name="Total_capitalisation">'[8]Valuation-DCF'!$C$43</definedName>
    <definedName name="Total_Metrics">OFFSET([6]master!$A$2,1,0,[6]settings!$N$10,3)</definedName>
    <definedName name="Total_Metrics1">IF([6]BarChart!$P$3="","",OFFSET([6]master!$A$2,1,0,[6]settings!$N$10,1))</definedName>
    <definedName name="TUP">[8]Industry_NetDebt_EBITDA!$A$12,[8]Industry_NetDebt_EBITDA!$A$16,[8]Industry_NetDebt_EBITDA!$A$17,[8]Industry_NetDebt_EBITDA!$A$18,[8]Industry_NetDebt_EBITDA!$A$20,[8]Industry_NetDebt_EBITDA!$A$22,[8]Industry_NetDebt_EBITDA!$A$23,[8]Industry_NetDebt_EBITDA!$A$24</definedName>
    <definedName name="uninv_pt">[7]D!$D$10</definedName>
    <definedName name="uniplc_pt">[7]D!$D$11</definedName>
    <definedName name="UpdateReason" localSheetId="5">IndexInformation!$B$17</definedName>
    <definedName name="USRegDisclosures" localSheetId="0">ImportantDisclosures!#REF!</definedName>
    <definedName name="Val_High">OFFSET([9]Val_MW!$AF$3,[9]Val_MW!$AG$2,,-[9]Val_MW!$AG$2)</definedName>
    <definedName name="Val_low">OFFSET([9]Val_MW!$AE$3,[9]Val_MW!$AG$1,,-[9]Val_MW!$AG$1)</definedName>
    <definedName name="ValInd">INDIRECT(ValShtNm&amp;"!"&amp;ADDRESS(4,COLUMN([9]ScatterCharts!$D$1:$D$65536))&amp;":"&amp; ADDRESS(ROW(INDIRECT(ValLCell)),COLUMN([9]ScatterCharts!$D$1:$D$65536)))</definedName>
    <definedName name="ValIndex">INDIRECT(ValShtNm&amp;"!"&amp;ADDRESS(4,COLUMN([9]ScatterCharts!$A$1:$A$65536))&amp;":"&amp; ADDRESS(ROW(INDIRECT(ValLCell)),COLUMN([9]ScatterCharts!$A$1:$A$65536)))</definedName>
    <definedName name="ValLCell">ADDRESS(COUNT([9]ScatterCharts!$A$5:$A$201)+3,COUNTA([9]ScatterCharts!$A$4:$C$4),1,,ValShtNm)</definedName>
    <definedName name="ValReg">INDIRECT(ValShtNm&amp;"!"&amp;ADDRESS(4,COLUMN([9]ScatterCharts!$C$1:$C$65536))&amp;":"&amp; ADDRESS(ROW(INDIRECT(ValLCell)),COLUMN([9]ScatterCharts!$C$1:$C$65536)))</definedName>
    <definedName name="valregold">INDIRECT(ValShtNm&amp;"!"&amp;ADDRESS(4,COLUMN([9]ScatterCharts!$C$1:$C$65536))&amp;":"&amp; ADDRESS(ROW(INDIRECT(whynot)),COLUMN([9]ScatterCharts!$C$1:$C$65536)))</definedName>
    <definedName name="WACC">'[8]Valuation-DCF'!$C$47</definedName>
    <definedName name="wess_pt">[7]D!$D$43</definedName>
    <definedName name="whynot">ADDRESS(COUNT([9]ScatterCharts!$A$5:$A$201)+3,COUNTA([9]ScatterCharts!$A$4:$C$4),1,,ValShtNm)</definedName>
    <definedName name="wrn.detail_US." hidden="1">{"summary1",#N/A,FALSE,"K";"summary2",#N/A,FALSE,"K";"USmarket",#N/A,FALSE,"K";"USearnings",#N/A,FALSE,"K"}</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ancials." hidden="1">{"income",#N/A,FALSE,"K";"cashflow",#N/A,FALSE,"K";"balances",#N/A,FALSE,"K";"ratios",#N/A,FALSE,"K"}</definedName>
    <definedName name="xaxis">OFFSET([1]Private_Label!$Y$12,0,0,COUNTIF([1]Private_Label!$Y$12:$Y$1231,"&lt;&gt;false"),1)</definedName>
  </definedNames>
  <calcPr calcId="145621" iterate="1" iterateDelta="1.0000000000000002E-3"/>
</workbook>
</file>

<file path=xl/calcChain.xml><?xml version="1.0" encoding="utf-8"?>
<calcChain xmlns="http://schemas.openxmlformats.org/spreadsheetml/2006/main">
  <c r="CB213" i="2" l="1"/>
  <c r="CC213" i="2" s="1"/>
  <c r="CD213" i="2" s="1"/>
  <c r="CB35" i="2" l="1"/>
  <c r="CA35" i="2"/>
  <c r="AZ59" i="8"/>
  <c r="AY59" i="8"/>
  <c r="AX59" i="8"/>
  <c r="AW59" i="8"/>
  <c r="AW58" i="8" s="1"/>
  <c r="AV72" i="8"/>
  <c r="AV80" i="8" s="1"/>
  <c r="AV86" i="8" s="1"/>
  <c r="AV71" i="8"/>
  <c r="AV70" i="8"/>
  <c r="AV78" i="8" s="1"/>
  <c r="AV85" i="8" s="1"/>
  <c r="AV69" i="8"/>
  <c r="AV68" i="8"/>
  <c r="AV76" i="8" s="1"/>
  <c r="AV67" i="8"/>
  <c r="AU80" i="8"/>
  <c r="AU86" i="8" s="1"/>
  <c r="AU79" i="8"/>
  <c r="AU78" i="8"/>
  <c r="AU85" i="8" s="1"/>
  <c r="AU77" i="8"/>
  <c r="AU76" i="8"/>
  <c r="AU75" i="8"/>
  <c r="AV35" i="8"/>
  <c r="AV33" i="8"/>
  <c r="AV30" i="8"/>
  <c r="AS25" i="8"/>
  <c r="AT25" i="8"/>
  <c r="AU25" i="8"/>
  <c r="AV19" i="8"/>
  <c r="AV12" i="8"/>
  <c r="BX84" i="2"/>
  <c r="BW84" i="2"/>
  <c r="BY81" i="2"/>
  <c r="BZ158" i="2"/>
  <c r="BZ155" i="2"/>
  <c r="BY159" i="2"/>
  <c r="BZ151" i="2"/>
  <c r="BW149" i="2"/>
  <c r="BZ56" i="2"/>
  <c r="CA52" i="2"/>
  <c r="CB52" i="2" s="1"/>
  <c r="CC52" i="2" s="1"/>
  <c r="BZ144" i="2"/>
  <c r="BW134" i="2"/>
  <c r="BX134" i="2" s="1"/>
  <c r="BY134" i="2" s="1"/>
  <c r="BU134" i="2"/>
  <c r="BY109" i="2"/>
  <c r="BY100" i="2"/>
  <c r="BZ78" i="2"/>
  <c r="BZ196" i="2" s="1"/>
  <c r="BY87" i="2"/>
  <c r="BX87" i="2"/>
  <c r="BY77" i="2"/>
  <c r="BY85" i="2" s="1"/>
  <c r="BX77" i="2"/>
  <c r="BX85" i="2" s="1"/>
  <c r="BZ45" i="2"/>
  <c r="BZ46" i="2"/>
  <c r="BW32" i="2"/>
  <c r="BV32" i="2"/>
  <c r="BY19" i="2"/>
  <c r="BX19" i="2"/>
  <c r="BW19" i="2"/>
  <c r="BV19" i="2"/>
  <c r="BZ19" i="2" s="1"/>
  <c r="BT19" i="2"/>
  <c r="AU59" i="8"/>
  <c r="AV28" i="8" l="1"/>
  <c r="BZ87" i="2"/>
  <c r="BX86" i="2"/>
  <c r="CC86" i="2" s="1"/>
  <c r="BY191" i="2"/>
  <c r="BY190" i="2"/>
  <c r="CD190" i="2" s="1"/>
  <c r="CI190" i="2" s="1"/>
  <c r="BX149" i="2"/>
  <c r="BY149" i="2" s="1"/>
  <c r="BY188" i="2" s="1"/>
  <c r="BY86" i="2"/>
  <c r="AV79" i="8"/>
  <c r="AU40" i="8"/>
  <c r="AU41" i="8"/>
  <c r="AU36" i="8"/>
  <c r="AU24" i="8"/>
  <c r="AU20" i="8"/>
  <c r="AU22" i="8" s="1"/>
  <c r="AU18" i="8"/>
  <c r="BY50" i="2"/>
  <c r="BY35" i="2"/>
  <c r="BY11" i="2"/>
  <c r="BY185" i="2" l="1"/>
  <c r="CD185" i="2" s="1"/>
  <c r="BY193" i="2"/>
  <c r="BY186" i="2"/>
  <c r="BY192" i="2"/>
  <c r="CD192" i="2" s="1"/>
  <c r="CD86" i="2"/>
  <c r="CA86" i="2"/>
  <c r="CD35" i="2"/>
  <c r="BY32" i="2"/>
  <c r="AQ30" i="8"/>
  <c r="AR28" i="8"/>
  <c r="AT28" i="8"/>
  <c r="AV31" i="8" l="1"/>
  <c r="AT6" i="8"/>
  <c r="BX5" i="2" s="1"/>
  <c r="AT39" i="8" l="1"/>
  <c r="BX35" i="2"/>
  <c r="BX11" i="2"/>
  <c r="BX15" i="2" s="1"/>
  <c r="BX27" i="2" s="1"/>
  <c r="BX50" i="2"/>
  <c r="BW50" i="2"/>
  <c r="BV50" i="2"/>
  <c r="BX12" i="2"/>
  <c r="AT36" i="8"/>
  <c r="AS36" i="8"/>
  <c r="AR36" i="8"/>
  <c r="AT60" i="8"/>
  <c r="AT24" i="8"/>
  <c r="BZ50" i="2" l="1"/>
  <c r="CC35" i="2"/>
  <c r="CE35" i="2" s="1"/>
  <c r="CJ35" i="2" s="1"/>
  <c r="BX32" i="2"/>
  <c r="BZ32" i="2" s="1"/>
  <c r="BX16" i="2"/>
  <c r="BX37" i="2" l="1"/>
  <c r="BX48" i="2" s="1"/>
  <c r="BX52" i="2" l="1"/>
  <c r="BX63" i="2"/>
  <c r="BX58" i="2"/>
  <c r="BX38" i="2"/>
  <c r="BX60" i="2" l="1"/>
  <c r="BX132" i="2"/>
  <c r="AR24" i="8" l="1"/>
  <c r="AT80" i="8" l="1"/>
  <c r="AT86" i="8" s="1"/>
  <c r="AT79" i="8"/>
  <c r="AT78" i="8"/>
  <c r="AT85" i="8" s="1"/>
  <c r="AT77" i="8"/>
  <c r="AT76" i="8"/>
  <c r="AT75" i="8"/>
  <c r="AX58" i="8" l="1"/>
  <c r="BX137" i="2"/>
  <c r="BY137" i="2" s="1"/>
  <c r="BX190" i="2"/>
  <c r="CC190" i="2" s="1"/>
  <c r="CH190" i="2" s="1"/>
  <c r="BX100" i="2"/>
  <c r="BX192" i="2"/>
  <c r="CC192" i="2" s="1"/>
  <c r="AT40" i="8"/>
  <c r="AT41" i="8"/>
  <c r="AT20" i="8"/>
  <c r="AT22" i="8" s="1"/>
  <c r="AT18" i="8"/>
  <c r="BX185" i="2" l="1"/>
  <c r="CC185" i="2" s="1"/>
  <c r="AS18" i="8" l="1"/>
  <c r="BW210" i="2" l="1"/>
  <c r="BW143" i="2"/>
  <c r="BW142" i="2"/>
  <c r="BW141" i="2"/>
  <c r="BW140" i="2"/>
  <c r="BX140" i="2" l="1"/>
  <c r="BY140" i="2" s="1"/>
  <c r="BX142" i="2"/>
  <c r="BY142" i="2" s="1"/>
  <c r="BX141" i="2"/>
  <c r="BY141" i="2" s="1"/>
  <c r="BX143" i="2"/>
  <c r="BY143" i="2" s="1"/>
  <c r="AN59" i="8"/>
  <c r="AU62" i="8" l="1"/>
  <c r="AP34" i="8" l="1"/>
  <c r="AO34" i="8"/>
  <c r="AS24" i="8" l="1"/>
  <c r="BV83" i="2"/>
  <c r="BV84" i="2"/>
  <c r="BW81" i="2" s="1"/>
  <c r="BT84" i="2"/>
  <c r="BT83" i="2"/>
  <c r="BX81" i="2"/>
  <c r="BS84" i="2"/>
  <c r="BS83" i="2"/>
  <c r="AS61" i="8" l="1"/>
  <c r="AR61" i="8"/>
  <c r="AR60" i="8"/>
  <c r="BW145" i="2"/>
  <c r="BZ163" i="2"/>
  <c r="BW227" i="2"/>
  <c r="BW221" i="2"/>
  <c r="BW164" i="2"/>
  <c r="BW160" i="2"/>
  <c r="BW157" i="2"/>
  <c r="BW156" i="2"/>
  <c r="BW148" i="2"/>
  <c r="BW196" i="2" l="1"/>
  <c r="BX145" i="2"/>
  <c r="BY145" i="2" s="1"/>
  <c r="BY170" i="2" s="1"/>
  <c r="BY171" i="2" s="1"/>
  <c r="AV61" i="8"/>
  <c r="BZ106" i="2"/>
  <c r="BX160" i="2"/>
  <c r="BX196" i="2" s="1"/>
  <c r="BX148" i="2"/>
  <c r="BY148" i="2" s="1"/>
  <c r="BX164" i="2"/>
  <c r="BY164" i="2" s="1"/>
  <c r="BW188" i="2"/>
  <c r="BW202" i="2"/>
  <c r="BW200" i="2" s="1"/>
  <c r="BX157" i="2"/>
  <c r="BX202" i="2" s="1"/>
  <c r="BX156" i="2"/>
  <c r="BY156" i="2" s="1"/>
  <c r="BY202" i="2" l="1"/>
  <c r="BY200" i="2" s="1"/>
  <c r="BY83" i="2" s="1"/>
  <c r="BY84" i="2" s="1"/>
  <c r="BX200" i="2"/>
  <c r="BX83" i="2" s="1"/>
  <c r="BX82" i="2" s="1"/>
  <c r="CC82" i="2" s="1"/>
  <c r="BY157" i="2"/>
  <c r="BY160" i="2"/>
  <c r="BY196" i="2" s="1"/>
  <c r="BZ111" i="2"/>
  <c r="BZ113" i="2"/>
  <c r="BZ100" i="2"/>
  <c r="BZ101" i="2"/>
  <c r="BW83" i="2"/>
  <c r="CA93" i="2"/>
  <c r="CB93" i="2" s="1"/>
  <c r="CC93" i="2" s="1"/>
  <c r="CD93" i="2" s="1"/>
  <c r="CE93" i="2" s="1"/>
  <c r="BZ93" i="2"/>
  <c r="BW136" i="2"/>
  <c r="BW135" i="2"/>
  <c r="BW100" i="2"/>
  <c r="BW87" i="2"/>
  <c r="BW77" i="2"/>
  <c r="BW85" i="2" s="1"/>
  <c r="AS76" i="8"/>
  <c r="AS77" i="8"/>
  <c r="AR77" i="8"/>
  <c r="AS75" i="8"/>
  <c r="AS79" i="8"/>
  <c r="AS80" i="8"/>
  <c r="AS86" i="8" s="1"/>
  <c r="AS78" i="8"/>
  <c r="AS85" i="8" s="1"/>
  <c r="BW86" i="2" l="1"/>
  <c r="CB86" i="2" s="1"/>
  <c r="BX136" i="2"/>
  <c r="BY136" i="2"/>
  <c r="BX135" i="2"/>
  <c r="BY135" i="2" s="1"/>
  <c r="BZ200" i="2"/>
  <c r="BZ201" i="2" s="1"/>
  <c r="BW82" i="2"/>
  <c r="BW190" i="2"/>
  <c r="CB190" i="2" s="1"/>
  <c r="CG190" i="2" s="1"/>
  <c r="BW191" i="2"/>
  <c r="BW11" i="2"/>
  <c r="AS40" i="8"/>
  <c r="AS41" i="8"/>
  <c r="AS20" i="8"/>
  <c r="BW204" i="2" l="1"/>
  <c r="CB82" i="2"/>
  <c r="AS22" i="8"/>
  <c r="BW186" i="2"/>
  <c r="BW228" i="2" s="1"/>
  <c r="BW185" i="2"/>
  <c r="CB185" i="2" s="1"/>
  <c r="BW193" i="2"/>
  <c r="BW192" i="2"/>
  <c r="CB192" i="2" l="1"/>
  <c r="CG192" i="2" s="1"/>
  <c r="AR76" i="8" l="1"/>
  <c r="AP24" i="8" l="1"/>
  <c r="AO24" i="8"/>
  <c r="AN24" i="8"/>
  <c r="AM24" i="8"/>
  <c r="AM61" i="8" l="1"/>
  <c r="AM62" i="8" s="1"/>
  <c r="AR59" i="8" s="1"/>
  <c r="BV210" i="2"/>
  <c r="BW213" i="2" s="1"/>
  <c r="BV87" i="2"/>
  <c r="BV77" i="2"/>
  <c r="BZ77" i="2" s="1"/>
  <c r="BZ85" i="2" s="1"/>
  <c r="BZ86" i="2" s="1"/>
  <c r="BV196" i="2"/>
  <c r="CA197" i="2" s="1"/>
  <c r="BV191" i="2"/>
  <c r="BV188" i="2"/>
  <c r="BV158" i="2"/>
  <c r="BW158" i="2" s="1"/>
  <c r="BV155" i="2"/>
  <c r="BV151" i="2"/>
  <c r="BV144" i="2"/>
  <c r="BV100" i="2"/>
  <c r="BV97" i="2"/>
  <c r="AR80" i="8"/>
  <c r="AR86" i="8" s="1"/>
  <c r="AR79" i="8"/>
  <c r="AR78" i="8"/>
  <c r="AR85" i="8" s="1"/>
  <c r="AR75" i="8"/>
  <c r="AP20" i="8"/>
  <c r="AR20" i="8"/>
  <c r="AR25" i="8"/>
  <c r="AO59" i="8"/>
  <c r="AP61" i="8"/>
  <c r="AP60" i="8"/>
  <c r="BV11" i="2"/>
  <c r="AR41" i="8"/>
  <c r="AR40" i="8"/>
  <c r="AR18" i="8"/>
  <c r="AR13" i="8" s="1"/>
  <c r="AR6" i="8"/>
  <c r="AP6" i="8"/>
  <c r="AU23" i="8" s="1"/>
  <c r="AP18" i="8"/>
  <c r="BT50" i="2"/>
  <c r="BS32" i="2"/>
  <c r="BR32" i="2"/>
  <c r="BQ32" i="2"/>
  <c r="BT35" i="2"/>
  <c r="AO60" i="8"/>
  <c r="BT32" i="2" l="1"/>
  <c r="BW155" i="2"/>
  <c r="BV193" i="2"/>
  <c r="BZ11" i="2"/>
  <c r="BW144" i="2"/>
  <c r="BX144" i="2" s="1"/>
  <c r="BX138" i="2" s="1"/>
  <c r="BV85" i="2"/>
  <c r="BV86" i="2" s="1"/>
  <c r="AP22" i="8"/>
  <c r="BV185" i="2"/>
  <c r="CA185" i="2" s="1"/>
  <c r="BV192" i="2"/>
  <c r="BW161" i="2"/>
  <c r="BW151" i="2"/>
  <c r="BV152" i="2"/>
  <c r="BV186" i="2"/>
  <c r="BX158" i="2"/>
  <c r="AR22" i="8"/>
  <c r="AR39" i="8"/>
  <c r="AR15" i="8"/>
  <c r="BY144" i="2" l="1"/>
  <c r="CA192" i="2"/>
  <c r="CF192" i="2" s="1"/>
  <c r="BX155" i="2"/>
  <c r="BY155" i="2" s="1"/>
  <c r="BU32" i="2"/>
  <c r="BX151" i="2"/>
  <c r="BY151" i="2" s="1"/>
  <c r="BW152" i="2"/>
  <c r="BW216" i="2" s="1"/>
  <c r="BX161" i="2" l="1"/>
  <c r="BX152" i="2"/>
  <c r="AP41" i="8" l="1"/>
  <c r="AK41" i="8"/>
  <c r="AU46" i="8" l="1"/>
  <c r="AP46" i="8"/>
  <c r="CJ138" i="2" l="1"/>
  <c r="CJ137" i="2"/>
  <c r="AM18" i="8" l="1"/>
  <c r="AN17" i="8"/>
  <c r="AN18" i="8"/>
  <c r="AN13" i="8" l="1"/>
  <c r="AN15" i="8" s="1"/>
  <c r="L76" i="8" l="1"/>
  <c r="K76" i="8"/>
  <c r="J76" i="8"/>
  <c r="I76" i="8"/>
  <c r="AB78" i="8"/>
  <c r="AB69" i="8"/>
  <c r="AK80" i="8"/>
  <c r="AK86" i="8" s="1"/>
  <c r="AK79" i="8"/>
  <c r="AK78" i="8"/>
  <c r="AK85" i="8" s="1"/>
  <c r="AK77" i="8"/>
  <c r="AK76" i="8"/>
  <c r="AK75" i="8"/>
  <c r="AJ80" i="8"/>
  <c r="AJ86" i="8" s="1"/>
  <c r="AI80" i="8"/>
  <c r="AI86" i="8" s="1"/>
  <c r="AH80" i="8"/>
  <c r="AH86" i="8" s="1"/>
  <c r="AH79" i="8"/>
  <c r="AH77" i="8"/>
  <c r="AH75" i="8"/>
  <c r="AG71" i="8"/>
  <c r="AG69" i="8"/>
  <c r="AG67" i="8"/>
  <c r="AC79" i="8"/>
  <c r="AC77" i="8"/>
  <c r="AC85" i="8" s="1"/>
  <c r="AC75" i="8"/>
  <c r="AD79" i="8"/>
  <c r="AD77" i="8"/>
  <c r="AD75" i="8"/>
  <c r="AE79" i="8"/>
  <c r="AE86" i="8" s="1"/>
  <c r="AE77" i="8"/>
  <c r="AE85" i="8" s="1"/>
  <c r="AE75" i="8"/>
  <c r="AF79" i="8"/>
  <c r="AF86" i="8" s="1"/>
  <c r="AF77" i="8"/>
  <c r="AF85" i="8" s="1"/>
  <c r="AF75" i="8"/>
  <c r="AI79" i="8"/>
  <c r="AI77" i="8"/>
  <c r="AI75" i="8"/>
  <c r="AJ79" i="8"/>
  <c r="AJ78" i="8"/>
  <c r="AJ85" i="8" s="1"/>
  <c r="AJ77" i="8"/>
  <c r="AJ76" i="8"/>
  <c r="AJ75" i="8"/>
  <c r="AL67" i="8"/>
  <c r="AO80" i="8"/>
  <c r="AO86" i="8" s="1"/>
  <c r="AO79" i="8"/>
  <c r="AO78" i="8"/>
  <c r="AO85" i="8" s="1"/>
  <c r="AO77" i="8"/>
  <c r="AO76" i="8"/>
  <c r="AO75" i="8"/>
  <c r="AN80" i="8"/>
  <c r="AN86" i="8" s="1"/>
  <c r="AN79" i="8"/>
  <c r="AN77" i="8"/>
  <c r="AN75" i="8"/>
  <c r="AM80" i="8"/>
  <c r="AM86" i="8" s="1"/>
  <c r="AM79" i="8"/>
  <c r="AM77" i="8"/>
  <c r="AM75" i="8"/>
  <c r="AC72" i="8"/>
  <c r="AG72" i="8" s="1"/>
  <c r="AL72" i="8"/>
  <c r="AL80" i="8" s="1"/>
  <c r="AL86" i="8" s="1"/>
  <c r="AL71" i="8"/>
  <c r="AL79" i="8" s="1"/>
  <c r="AP80" i="8"/>
  <c r="AP86" i="8" s="1"/>
  <c r="AP79" i="8"/>
  <c r="AP78" i="8"/>
  <c r="AP85" i="8" s="1"/>
  <c r="AP77" i="8"/>
  <c r="AP76" i="8"/>
  <c r="AP75" i="8"/>
  <c r="AQ72" i="8"/>
  <c r="AQ80" i="8" s="1"/>
  <c r="AQ86" i="8" s="1"/>
  <c r="AQ71" i="8"/>
  <c r="AQ70" i="8"/>
  <c r="AQ78" i="8" s="1"/>
  <c r="AQ85" i="8" s="1"/>
  <c r="AQ69" i="8"/>
  <c r="AV77" i="8" s="1"/>
  <c r="AQ68" i="8"/>
  <c r="AQ76" i="8" s="1"/>
  <c r="AQ67" i="8"/>
  <c r="AV75" i="8" s="1"/>
  <c r="AB59" i="8"/>
  <c r="AA59" i="8"/>
  <c r="V58" i="8" s="1"/>
  <c r="Z59" i="8"/>
  <c r="U58" i="8" s="1"/>
  <c r="Y59" i="8"/>
  <c r="T58" i="8" s="1"/>
  <c r="AB58" i="8"/>
  <c r="AG58" i="8"/>
  <c r="AF59" i="8"/>
  <c r="AE59" i="8"/>
  <c r="AD59" i="8"/>
  <c r="AC59" i="8"/>
  <c r="AM59" i="8"/>
  <c r="AK59" i="8"/>
  <c r="AJ59" i="8"/>
  <c r="AI59" i="8"/>
  <c r="AH59" i="8"/>
  <c r="AL58" i="8"/>
  <c r="AK61" i="8"/>
  <c r="AK62" i="8" s="1"/>
  <c r="AK60" i="8"/>
  <c r="AO61" i="8"/>
  <c r="AI62" i="8"/>
  <c r="AN61" i="8"/>
  <c r="AP59" i="8" l="1"/>
  <c r="AQ79" i="8"/>
  <c r="W58" i="8"/>
  <c r="AO62" i="8"/>
  <c r="AT59" i="8" s="1"/>
  <c r="AQ75" i="8"/>
  <c r="AL59" i="8"/>
  <c r="AQ61" i="8"/>
  <c r="AG77" i="8"/>
  <c r="AL75" i="8"/>
  <c r="AG59" i="8"/>
  <c r="AT62" i="8" l="1"/>
  <c r="AV62" i="8" s="1"/>
  <c r="AV58" i="8" l="1"/>
  <c r="BA57" i="8" s="1"/>
  <c r="BU111" i="2" l="1"/>
  <c r="CB214" i="2" l="1"/>
  <c r="CC214" i="2" s="1"/>
  <c r="CD214" i="2" s="1"/>
  <c r="A42" i="8"/>
  <c r="AX35" i="8"/>
  <c r="AQ35" i="8"/>
  <c r="AV36" i="8" s="1"/>
  <c r="BL84" i="2"/>
  <c r="BS211" i="2"/>
  <c r="BS210" i="2"/>
  <c r="BT210" i="2"/>
  <c r="BT183" i="2"/>
  <c r="BT184" i="2"/>
  <c r="BT187" i="2"/>
  <c r="BT195" i="2"/>
  <c r="BU155" i="2"/>
  <c r="BU158" i="2"/>
  <c r="BU157" i="2"/>
  <c r="BT150" i="2"/>
  <c r="BU144" i="2"/>
  <c r="BT81" i="2"/>
  <c r="BT82" i="2" s="1"/>
  <c r="BT204" i="2" s="1"/>
  <c r="BT77" i="2"/>
  <c r="BT85" i="2" s="1"/>
  <c r="BT87" i="2"/>
  <c r="BS87" i="2"/>
  <c r="BR84" i="2"/>
  <c r="BR87" i="2"/>
  <c r="BT108" i="2"/>
  <c r="BT194" i="2" s="1"/>
  <c r="BT100" i="2"/>
  <c r="AP40" i="8"/>
  <c r="AU45" i="8" s="1"/>
  <c r="AQ33" i="8"/>
  <c r="AQ28" i="8" s="1"/>
  <c r="AP28" i="8"/>
  <c r="AP25" i="8"/>
  <c r="AN62" i="8"/>
  <c r="AS59" i="8" s="1"/>
  <c r="AQ58" i="8"/>
  <c r="AQ19" i="8"/>
  <c r="AQ12" i="8"/>
  <c r="AV25" i="8" l="1"/>
  <c r="AV21" i="8"/>
  <c r="AV24" i="8"/>
  <c r="AV20" i="8"/>
  <c r="AV22" i="8"/>
  <c r="AV14" i="8"/>
  <c r="AV16" i="8"/>
  <c r="AV18" i="8"/>
  <c r="BS212" i="2"/>
  <c r="AW35" i="8"/>
  <c r="AZ35" i="8"/>
  <c r="BT213" i="2"/>
  <c r="AQ62" i="8"/>
  <c r="AQ60" i="8"/>
  <c r="AQ40" i="8"/>
  <c r="AQ41" i="8"/>
  <c r="AY35" i="8"/>
  <c r="AP36" i="8"/>
  <c r="AP17" i="8"/>
  <c r="BT11" i="2"/>
  <c r="BT15" i="2" l="1"/>
  <c r="AV59" i="8"/>
  <c r="AP13" i="8"/>
  <c r="BT186" i="2"/>
  <c r="BT185" i="2"/>
  <c r="BT192" i="2"/>
  <c r="BT193" i="2"/>
  <c r="AO36" i="8"/>
  <c r="AN36" i="8"/>
  <c r="AM36" i="8"/>
  <c r="CI192" i="2" l="1"/>
  <c r="AP15" i="8"/>
  <c r="BS50" i="2"/>
  <c r="AL69" i="8" l="1"/>
  <c r="AL77" i="8" l="1"/>
  <c r="AQ77" i="8"/>
  <c r="BT86" i="2" l="1"/>
  <c r="AH62" i="8" l="1"/>
  <c r="AQ57" i="8"/>
  <c r="AL61" i="8"/>
  <c r="BQ80" i="2" l="1"/>
  <c r="BU80" i="2"/>
  <c r="BV80" i="2"/>
  <c r="BW80" i="2"/>
  <c r="BX80" i="2"/>
  <c r="BY80" i="2"/>
  <c r="BZ80" i="2"/>
  <c r="CE80" i="2"/>
  <c r="CJ80" i="2"/>
  <c r="BQ84" i="2"/>
  <c r="BR81" i="2" s="1"/>
  <c r="BS81" i="2"/>
  <c r="BS82" i="2" s="1"/>
  <c r="CF86" i="2"/>
  <c r="CI86" i="2"/>
  <c r="BQ87" i="2"/>
  <c r="BU84" i="2" l="1"/>
  <c r="BV81" i="2" s="1"/>
  <c r="BV82" i="2" l="1"/>
  <c r="BZ81" i="2"/>
  <c r="BV204" i="2" l="1"/>
  <c r="CA82" i="2"/>
  <c r="BN19" i="2"/>
  <c r="BS77" i="2" l="1"/>
  <c r="BS85" i="2" s="1"/>
  <c r="BS86" i="2" s="1"/>
  <c r="CH86" i="2" s="1"/>
  <c r="BR202" i="2"/>
  <c r="BS202" i="2" s="1"/>
  <c r="BT202" i="2" s="1"/>
  <c r="BQ158" i="2"/>
  <c r="BR158" i="2" s="1"/>
  <c r="BS158" i="2" s="1"/>
  <c r="BR136" i="2"/>
  <c r="BS108" i="2"/>
  <c r="BS100" i="2"/>
  <c r="BS136" i="2" l="1"/>
  <c r="BT136" i="2" s="1"/>
  <c r="BR80" i="2"/>
  <c r="BT158" i="2"/>
  <c r="BS11" i="2"/>
  <c r="BS45" i="2"/>
  <c r="BU45" i="2" s="1"/>
  <c r="BS19" i="2"/>
  <c r="BS21" i="2" s="1"/>
  <c r="AO40" i="8"/>
  <c r="AT45" i="8" s="1"/>
  <c r="AO41" i="8"/>
  <c r="AT46" i="8" s="1"/>
  <c r="AO25" i="8"/>
  <c r="AO20" i="8" s="1"/>
  <c r="AO18" i="8"/>
  <c r="AO17" i="8"/>
  <c r="AO22" i="8" l="1"/>
  <c r="BS201" i="2"/>
  <c r="BS80" i="2"/>
  <c r="AO13" i="8"/>
  <c r="AO15" i="8" s="1"/>
  <c r="BS192" i="2"/>
  <c r="CH192" i="2" s="1"/>
  <c r="BS185" i="2"/>
  <c r="BR137" i="2"/>
  <c r="BT201" i="2" l="1"/>
  <c r="BT80" i="2"/>
  <c r="AN60" i="8" l="1"/>
  <c r="AM60" i="8"/>
  <c r="BR108" i="2"/>
  <c r="BR164" i="2" l="1"/>
  <c r="BQ200" i="2"/>
  <c r="BR160" i="2"/>
  <c r="BS164" i="2" l="1"/>
  <c r="BT164" i="2" s="1"/>
  <c r="BQ83" i="2"/>
  <c r="BR196" i="2"/>
  <c r="BS160" i="2"/>
  <c r="BS196" i="2" s="1"/>
  <c r="BR200" i="2"/>
  <c r="BR83" i="2" s="1"/>
  <c r="BR82" i="2" s="1"/>
  <c r="CG82" i="2" s="1"/>
  <c r="BR156" i="2"/>
  <c r="BR151" i="2"/>
  <c r="BR149" i="2"/>
  <c r="BR148" i="2"/>
  <c r="BR145" i="2"/>
  <c r="BR143" i="2"/>
  <c r="BR142" i="2"/>
  <c r="BR141" i="2"/>
  <c r="BR140" i="2"/>
  <c r="BR135" i="2"/>
  <c r="BQ134" i="2"/>
  <c r="BR100" i="2"/>
  <c r="BR77" i="2"/>
  <c r="BR85" i="2" s="1"/>
  <c r="BR86" i="2" s="1"/>
  <c r="BR50" i="2"/>
  <c r="BR19" i="2"/>
  <c r="BR11" i="2"/>
  <c r="AN40" i="8"/>
  <c r="AS45" i="8" s="1"/>
  <c r="AN41" i="8"/>
  <c r="AS46" i="8" s="1"/>
  <c r="AN25" i="8"/>
  <c r="AN20" i="8" s="1"/>
  <c r="AN22" i="8" l="1"/>
  <c r="BW21" i="2"/>
  <c r="CG86" i="2"/>
  <c r="BT160" i="2"/>
  <c r="BT196" i="2" s="1"/>
  <c r="BS142" i="2"/>
  <c r="BT142" i="2" s="1"/>
  <c r="BS141" i="2"/>
  <c r="BT141" i="2" s="1"/>
  <c r="BS148" i="2"/>
  <c r="BT148" i="2" s="1"/>
  <c r="BU200" i="2"/>
  <c r="BU201" i="2" s="1"/>
  <c r="BS135" i="2"/>
  <c r="BT135" i="2" s="1"/>
  <c r="BS143" i="2"/>
  <c r="BT143" i="2" s="1"/>
  <c r="BS151" i="2"/>
  <c r="BT151" i="2" s="1"/>
  <c r="BS140" i="2"/>
  <c r="BT140" i="2" s="1"/>
  <c r="BS145" i="2"/>
  <c r="BT145" i="2" s="1"/>
  <c r="BS156" i="2"/>
  <c r="BT156" i="2" s="1"/>
  <c r="BU83" i="2"/>
  <c r="BR134" i="2"/>
  <c r="BS134" i="2" s="1"/>
  <c r="BR188" i="2"/>
  <c r="BS149" i="2"/>
  <c r="BS152" i="2" s="1"/>
  <c r="BR185" i="2"/>
  <c r="BR186" i="2"/>
  <c r="BR192" i="2"/>
  <c r="BR193" i="2"/>
  <c r="BR190" i="2" l="1"/>
  <c r="BT134" i="2"/>
  <c r="BT149" i="2"/>
  <c r="BS190" i="2"/>
  <c r="BR191" i="2"/>
  <c r="BT190" i="2" l="1"/>
  <c r="BT191" i="2"/>
  <c r="BT189" i="2"/>
  <c r="BT188" i="2"/>
  <c r="BT152" i="2"/>
  <c r="AM34" i="8" l="1"/>
  <c r="BO200" i="2" l="1"/>
  <c r="BU35" i="2"/>
  <c r="BQ122" i="2" l="1"/>
  <c r="BQ121" i="2"/>
  <c r="BO84" i="2"/>
  <c r="BP84" i="2" s="1"/>
  <c r="BN200" i="2"/>
  <c r="BQ211" i="2"/>
  <c r="BQ210" i="2"/>
  <c r="BQ196" i="2"/>
  <c r="BQ157" i="2"/>
  <c r="BQ155" i="2"/>
  <c r="BQ152" i="2"/>
  <c r="BQ144" i="2"/>
  <c r="BQ77" i="2"/>
  <c r="BU77" i="2" s="1"/>
  <c r="BQ100" i="2"/>
  <c r="BQ108" i="2"/>
  <c r="BT20" i="8"/>
  <c r="BS20" i="8"/>
  <c r="BR20" i="8"/>
  <c r="BQ20" i="8"/>
  <c r="BO20" i="8"/>
  <c r="BN20" i="8"/>
  <c r="BM20" i="8"/>
  <c r="BL20" i="8"/>
  <c r="BJ20" i="8"/>
  <c r="BI20" i="8"/>
  <c r="BH20" i="8"/>
  <c r="BG20" i="8"/>
  <c r="BE20" i="8"/>
  <c r="BD20" i="8"/>
  <c r="BC20" i="8"/>
  <c r="BB20" i="8"/>
  <c r="AZ20" i="8"/>
  <c r="AY20" i="8"/>
  <c r="AX20" i="8"/>
  <c r="AW20" i="8"/>
  <c r="AM25" i="8"/>
  <c r="BT13" i="8"/>
  <c r="BS13" i="8"/>
  <c r="BR13" i="8"/>
  <c r="BQ13" i="8"/>
  <c r="BO13" i="8"/>
  <c r="BN13" i="8"/>
  <c r="BM13" i="8"/>
  <c r="BL13" i="8"/>
  <c r="BJ13" i="8"/>
  <c r="BI13" i="8"/>
  <c r="BH13" i="8"/>
  <c r="BG13" i="8"/>
  <c r="BE13" i="8"/>
  <c r="BD13" i="8"/>
  <c r="BC13" i="8"/>
  <c r="BB13" i="8"/>
  <c r="AM17" i="8"/>
  <c r="AJ62" i="8"/>
  <c r="AM41" i="8"/>
  <c r="AR46" i="8" s="1"/>
  <c r="AM40" i="8"/>
  <c r="AR45" i="8" s="1"/>
  <c r="BQ50" i="2"/>
  <c r="BU50" i="2" s="1"/>
  <c r="BQ11" i="2"/>
  <c r="BQ19" i="2"/>
  <c r="BU19" i="2" s="1"/>
  <c r="AK17" i="8"/>
  <c r="AK18" i="8"/>
  <c r="AK28" i="8"/>
  <c r="BO50" i="2"/>
  <c r="BQ41" i="2"/>
  <c r="BR155" i="2" l="1"/>
  <c r="BS155" i="2" s="1"/>
  <c r="BQ85" i="2"/>
  <c r="BQ86" i="2" s="1"/>
  <c r="BR157" i="2"/>
  <c r="BS157" i="2" s="1"/>
  <c r="BR144" i="2"/>
  <c r="BS144" i="2" s="1"/>
  <c r="BQ81" i="2"/>
  <c r="BQ82" i="2" s="1"/>
  <c r="BU81" i="2"/>
  <c r="BQ192" i="2"/>
  <c r="BU11" i="2"/>
  <c r="BQ212" i="2"/>
  <c r="AL62" i="8"/>
  <c r="BU196" i="2"/>
  <c r="BQ124" i="2"/>
  <c r="BQ185" i="2"/>
  <c r="BQ161" i="2"/>
  <c r="AM20" i="8"/>
  <c r="AK13" i="8"/>
  <c r="AM13" i="8"/>
  <c r="AM22" i="8" l="1"/>
  <c r="BT144" i="2"/>
  <c r="BT157" i="2"/>
  <c r="BT155" i="2"/>
  <c r="BU82" i="2"/>
  <c r="BU204" i="2" s="1"/>
  <c r="BS161" i="2"/>
  <c r="AM15" i="8"/>
  <c r="AQ59" i="8"/>
  <c r="AK15" i="8"/>
  <c r="CF82" i="2" l="1"/>
  <c r="AM31" i="8" l="1"/>
  <c r="AM28" i="8" l="1"/>
  <c r="BR45" i="8" l="1"/>
  <c r="BS45" i="8" s="1"/>
  <c r="BT45" i="8" s="1"/>
  <c r="BM45" i="8"/>
  <c r="BN45" i="8" s="1"/>
  <c r="BO45" i="8" s="1"/>
  <c r="BH45" i="8"/>
  <c r="BI45" i="8" s="1"/>
  <c r="BJ45" i="8" s="1"/>
  <c r="BU46" i="2" l="1"/>
  <c r="AL60" i="8"/>
  <c r="CL190" i="2" l="1"/>
  <c r="CM190" i="2"/>
  <c r="CN190" i="2"/>
  <c r="BZ35" i="2" l="1"/>
  <c r="BL41" i="2" l="1"/>
  <c r="BP202" i="2" l="1"/>
  <c r="BP80" i="2" s="1"/>
  <c r="BO187" i="2"/>
  <c r="BO183" i="2"/>
  <c r="BO159" i="2"/>
  <c r="BP158" i="2"/>
  <c r="BP157" i="2"/>
  <c r="BP155" i="2"/>
  <c r="BO150" i="2"/>
  <c r="BP152" i="2"/>
  <c r="BP134" i="2"/>
  <c r="BP41" i="2" s="1"/>
  <c r="BP144" i="2"/>
  <c r="BO108" i="2"/>
  <c r="BO194" i="2" s="1"/>
  <c r="BO100" i="2"/>
  <c r="BN84" i="2"/>
  <c r="BO81" i="2" s="1"/>
  <c r="BO77" i="2"/>
  <c r="BO85" i="2" s="1"/>
  <c r="BO87" i="2"/>
  <c r="BP78" i="2"/>
  <c r="BP87" i="2" s="1"/>
  <c r="BP46" i="2"/>
  <c r="BP45" i="2"/>
  <c r="BP34" i="2"/>
  <c r="AD70" i="8"/>
  <c r="AC70" i="8"/>
  <c r="AC68" i="8"/>
  <c r="AD68" i="8"/>
  <c r="AH70" i="8"/>
  <c r="AI70" i="8"/>
  <c r="AI68" i="8"/>
  <c r="AH68" i="8"/>
  <c r="AL35" i="8"/>
  <c r="AL33" i="8"/>
  <c r="AL30" i="8"/>
  <c r="AJ28" i="8"/>
  <c r="AI28" i="8"/>
  <c r="AH28" i="8"/>
  <c r="AM29" i="8" s="1"/>
  <c r="AF28" i="8"/>
  <c r="AL19" i="8"/>
  <c r="AL12" i="8"/>
  <c r="AK6" i="8"/>
  <c r="AK40" i="8"/>
  <c r="AK36" i="8"/>
  <c r="AK24" i="8"/>
  <c r="AK25" i="8"/>
  <c r="BO35" i="2"/>
  <c r="BO19" i="2"/>
  <c r="BO11" i="2"/>
  <c r="AQ16" i="8" l="1"/>
  <c r="AQ14" i="8"/>
  <c r="AQ18" i="8"/>
  <c r="AQ17" i="8"/>
  <c r="AQ13" i="8"/>
  <c r="AQ15" i="8"/>
  <c r="AQ24" i="8"/>
  <c r="AQ20" i="8"/>
  <c r="AP9" i="8"/>
  <c r="AP11" i="8"/>
  <c r="AP10" i="8"/>
  <c r="AP7" i="8"/>
  <c r="BP35" i="2"/>
  <c r="AG70" i="8"/>
  <c r="AP45" i="8"/>
  <c r="AQ36" i="8"/>
  <c r="AQ23" i="8"/>
  <c r="AQ21" i="8"/>
  <c r="AQ25" i="8"/>
  <c r="AQ22" i="8"/>
  <c r="AM78" i="8"/>
  <c r="AM85" i="8" s="1"/>
  <c r="AH78" i="8"/>
  <c r="AH85" i="8" s="1"/>
  <c r="AL70" i="8"/>
  <c r="AM76" i="8"/>
  <c r="AH76" i="8"/>
  <c r="AL68" i="8"/>
  <c r="AN76" i="8"/>
  <c r="AI76" i="8"/>
  <c r="AG68" i="8"/>
  <c r="AN78" i="8"/>
  <c r="AN85" i="8" s="1"/>
  <c r="AI78" i="8"/>
  <c r="AI85" i="8" s="1"/>
  <c r="BO192" i="2"/>
  <c r="BO15" i="2"/>
  <c r="AK20" i="8"/>
  <c r="BO185" i="2"/>
  <c r="BP161" i="2"/>
  <c r="BO186" i="2"/>
  <c r="AL40" i="8"/>
  <c r="AL41" i="8"/>
  <c r="AQ46" i="8" s="1"/>
  <c r="AL28" i="8"/>
  <c r="AK31" i="8"/>
  <c r="AJ18" i="8"/>
  <c r="AJ13" i="8" s="1"/>
  <c r="AJ15" i="8" s="1"/>
  <c r="BN50" i="2"/>
  <c r="BM50" i="2"/>
  <c r="BL50" i="2"/>
  <c r="BN9" i="2"/>
  <c r="BO32" i="2"/>
  <c r="BN32" i="2"/>
  <c r="BO27" i="2" l="1"/>
  <c r="BO28" i="2" s="1"/>
  <c r="AL78" i="8"/>
  <c r="AL85" i="8" s="1"/>
  <c r="AQ45" i="8"/>
  <c r="AK22" i="8"/>
  <c r="AL76" i="8"/>
  <c r="BP50" i="2"/>
  <c r="BO37" i="2" l="1"/>
  <c r="BO48" i="2" s="1"/>
  <c r="BO58" i="2" l="1"/>
  <c r="BM84" i="2" l="1"/>
  <c r="BN81" i="2" s="1"/>
  <c r="BM83" i="2"/>
  <c r="BN113" i="2"/>
  <c r="BN117" i="2"/>
  <c r="BN124" i="2" s="1"/>
  <c r="AX13" i="8" l="1"/>
  <c r="AY13" i="8"/>
  <c r="AZ13" i="8"/>
  <c r="AW13" i="8"/>
  <c r="CB201" i="2" l="1"/>
  <c r="CC201" i="2" s="1"/>
  <c r="CD201" i="2" s="1"/>
  <c r="BZ83" i="2" l="1"/>
  <c r="D45" i="2" l="1"/>
  <c r="H45" i="2"/>
  <c r="AE45" i="2"/>
  <c r="AL45" i="2"/>
  <c r="AQ45" i="2"/>
  <c r="AV45" i="2"/>
  <c r="BA45" i="2"/>
  <c r="BF45" i="2"/>
  <c r="BK45" i="2"/>
  <c r="AS17" i="8" l="1"/>
  <c r="BN187" i="2"/>
  <c r="BN183" i="2"/>
  <c r="AT17" i="8" l="1"/>
  <c r="AS13" i="8"/>
  <c r="AT13" i="8" l="1"/>
  <c r="AT15" i="8" s="1"/>
  <c r="AS15" i="8"/>
  <c r="AU17" i="8"/>
  <c r="AV17" i="8" s="1"/>
  <c r="AU13" i="8" l="1"/>
  <c r="AU10" i="8"/>
  <c r="AU15" i="8" l="1"/>
  <c r="AU7" i="8"/>
  <c r="AV13" i="8"/>
  <c r="AV15" i="8" l="1"/>
  <c r="BM195" i="2" l="1"/>
  <c r="BM187" i="2"/>
  <c r="AJ60" i="8"/>
  <c r="BN137" i="2"/>
  <c r="BM136" i="2"/>
  <c r="BN87" i="2"/>
  <c r="BN77" i="2"/>
  <c r="BN85" i="2" s="1"/>
  <c r="BN108" i="2"/>
  <c r="BN194" i="2" s="1"/>
  <c r="BN100" i="2"/>
  <c r="AJ40" i="8"/>
  <c r="AJ41" i="8"/>
  <c r="AO46" i="8" s="1"/>
  <c r="AJ36" i="8"/>
  <c r="AJ24" i="8"/>
  <c r="AJ25" i="8"/>
  <c r="BN20" i="2"/>
  <c r="BN11" i="2"/>
  <c r="BN12" i="2" s="1"/>
  <c r="AI18" i="8"/>
  <c r="AI13" i="8" s="1"/>
  <c r="AH6" i="8"/>
  <c r="AI6" i="8"/>
  <c r="BM32" i="2"/>
  <c r="BM19" i="2"/>
  <c r="BR21" i="2" s="1"/>
  <c r="BM11" i="2"/>
  <c r="BM9" i="2"/>
  <c r="BI50" i="2"/>
  <c r="BJ50" i="2"/>
  <c r="G5" i="8"/>
  <c r="H5" i="8"/>
  <c r="L5" i="8"/>
  <c r="L27" i="8" s="1"/>
  <c r="L48" i="8" s="1"/>
  <c r="M5" i="8"/>
  <c r="M27" i="8" s="1"/>
  <c r="M48" i="8" s="1"/>
  <c r="N5" i="8"/>
  <c r="O5" i="8"/>
  <c r="O27" i="8" s="1"/>
  <c r="O48" i="8" s="1"/>
  <c r="P5" i="8"/>
  <c r="P27" i="8" s="1"/>
  <c r="P48" i="8" s="1"/>
  <c r="Q5" i="8"/>
  <c r="Q27" i="8" s="1"/>
  <c r="Q48" i="8" s="1"/>
  <c r="R5" i="8"/>
  <c r="R27" i="8" s="1"/>
  <c r="R48" i="8" s="1"/>
  <c r="S5" i="8"/>
  <c r="T5" i="8"/>
  <c r="U5" i="8"/>
  <c r="V5" i="8"/>
  <c r="W5" i="8"/>
  <c r="X5" i="8"/>
  <c r="Y5" i="8"/>
  <c r="Z5" i="8"/>
  <c r="AA5" i="8"/>
  <c r="AA27" i="8" s="1"/>
  <c r="AA48" i="8" s="1"/>
  <c r="AB5" i="8"/>
  <c r="AC5" i="8"/>
  <c r="AC27" i="8" s="1"/>
  <c r="AC48" i="8" s="1"/>
  <c r="AD5" i="8"/>
  <c r="AE5" i="8"/>
  <c r="AF5" i="8"/>
  <c r="AG5" i="8"/>
  <c r="N6" i="8"/>
  <c r="O6" i="8"/>
  <c r="P6" i="8"/>
  <c r="Q6" i="8"/>
  <c r="S6" i="8"/>
  <c r="T6" i="8"/>
  <c r="U6" i="8"/>
  <c r="V6" i="8"/>
  <c r="Y6" i="8"/>
  <c r="Z6" i="8"/>
  <c r="AA6" i="8"/>
  <c r="AF9" i="8" s="1"/>
  <c r="AC6" i="8"/>
  <c r="AD6" i="8"/>
  <c r="AD11" i="8" s="1"/>
  <c r="AE6" i="8"/>
  <c r="AF6" i="8"/>
  <c r="AF39" i="8" s="1"/>
  <c r="H12" i="8"/>
  <c r="M12" i="8"/>
  <c r="R12" i="8"/>
  <c r="W12" i="8"/>
  <c r="AB12" i="8"/>
  <c r="AG12" i="8"/>
  <c r="X14" i="8"/>
  <c r="X59" i="8" s="1"/>
  <c r="S58" i="8" s="1"/>
  <c r="I18" i="8"/>
  <c r="J18" i="8"/>
  <c r="K18" i="8"/>
  <c r="L18" i="8"/>
  <c r="N18" i="8"/>
  <c r="O18" i="8"/>
  <c r="P18" i="8"/>
  <c r="Q18" i="8"/>
  <c r="S18" i="8"/>
  <c r="T18" i="8"/>
  <c r="U18" i="8"/>
  <c r="V18" i="8"/>
  <c r="X18" i="8"/>
  <c r="X13" i="8" s="1"/>
  <c r="Y18" i="8"/>
  <c r="Y13" i="8" s="1"/>
  <c r="Z18" i="8"/>
  <c r="Z13" i="8" s="1"/>
  <c r="AA18" i="8"/>
  <c r="AA13" i="8" s="1"/>
  <c r="AC18" i="8"/>
  <c r="AC15" i="8" s="1"/>
  <c r="AD18" i="8"/>
  <c r="AD15" i="8" s="1"/>
  <c r="AE18" i="8"/>
  <c r="AE15" i="8" s="1"/>
  <c r="AF18" i="8"/>
  <c r="AF15" i="8" s="1"/>
  <c r="AH18" i="8"/>
  <c r="AH13" i="8" s="1"/>
  <c r="AH15" i="8" s="1"/>
  <c r="R19" i="8"/>
  <c r="R25" i="8" s="1"/>
  <c r="W19" i="8"/>
  <c r="AB23" i="8" s="1"/>
  <c r="X19" i="8"/>
  <c r="AG19" i="8"/>
  <c r="M22" i="8"/>
  <c r="R24" i="8"/>
  <c r="S24" i="8"/>
  <c r="T24" i="8"/>
  <c r="U24" i="8"/>
  <c r="V24" i="8"/>
  <c r="X24" i="8"/>
  <c r="Y24" i="8"/>
  <c r="AI24" i="8"/>
  <c r="AY24" i="8"/>
  <c r="AY25" i="8" s="1"/>
  <c r="BD24" i="8"/>
  <c r="BI24" i="8"/>
  <c r="BJ24" i="8" s="1"/>
  <c r="BJ25" i="8" s="1"/>
  <c r="BN24" i="8"/>
  <c r="BN25" i="8" s="1"/>
  <c r="BS24" i="8"/>
  <c r="BS25" i="8" s="1"/>
  <c r="M25" i="8"/>
  <c r="S25" i="8"/>
  <c r="T25" i="8"/>
  <c r="U25" i="8"/>
  <c r="V25" i="8"/>
  <c r="Y25" i="8"/>
  <c r="Y20" i="8" s="1"/>
  <c r="Z25" i="8"/>
  <c r="Z20" i="8" s="1"/>
  <c r="AA25" i="8"/>
  <c r="AA20" i="8" s="1"/>
  <c r="AD25" i="8"/>
  <c r="AD20" i="8" s="1"/>
  <c r="AE25" i="8"/>
  <c r="AE20" i="8" s="1"/>
  <c r="AF25" i="8"/>
  <c r="AF20" i="8" s="1"/>
  <c r="AH25" i="8"/>
  <c r="AH20" i="8" s="1"/>
  <c r="AH22" i="8" s="1"/>
  <c r="AI25" i="8"/>
  <c r="AW25" i="8"/>
  <c r="AX25" i="8"/>
  <c r="BB25" i="8"/>
  <c r="BC25" i="8"/>
  <c r="BG25" i="8"/>
  <c r="BH25" i="8"/>
  <c r="BL25" i="8"/>
  <c r="BM25" i="8"/>
  <c r="BQ25" i="8"/>
  <c r="BR25" i="8"/>
  <c r="AH27" i="8"/>
  <c r="AH48" i="8" s="1"/>
  <c r="AI27" i="8"/>
  <c r="AI48" i="8" s="1"/>
  <c r="AJ27" i="8"/>
  <c r="AJ48" i="8" s="1"/>
  <c r="AK27" i="8"/>
  <c r="AK48" i="8" s="1"/>
  <c r="AL27" i="8"/>
  <c r="AL48" i="8" s="1"/>
  <c r="AM27" i="8"/>
  <c r="AM48" i="8" s="1"/>
  <c r="AN27" i="8"/>
  <c r="AN48" i="8" s="1"/>
  <c r="AO27" i="8"/>
  <c r="AO48" i="8" s="1"/>
  <c r="AP27" i="8"/>
  <c r="AP48" i="8" s="1"/>
  <c r="AQ27" i="8"/>
  <c r="AQ48" i="8" s="1"/>
  <c r="AR27" i="8"/>
  <c r="AR48" i="8" s="1"/>
  <c r="AS27" i="8"/>
  <c r="AS48" i="8" s="1"/>
  <c r="AT27" i="8"/>
  <c r="AT48" i="8" s="1"/>
  <c r="AU27" i="8"/>
  <c r="AU48" i="8" s="1"/>
  <c r="AV27" i="8"/>
  <c r="AV48" i="8" s="1"/>
  <c r="AW27" i="8"/>
  <c r="AW48" i="8" s="1"/>
  <c r="AX27" i="8"/>
  <c r="AX48" i="8" s="1"/>
  <c r="AY27" i="8"/>
  <c r="AY48" i="8" s="1"/>
  <c r="AZ27" i="8"/>
  <c r="AZ48" i="8" s="1"/>
  <c r="BA27" i="8"/>
  <c r="BA48" i="8" s="1"/>
  <c r="BB27" i="8"/>
  <c r="BB48" i="8" s="1"/>
  <c r="BC27" i="8"/>
  <c r="BC48" i="8" s="1"/>
  <c r="BD27" i="8"/>
  <c r="BD48" i="8" s="1"/>
  <c r="BE27" i="8"/>
  <c r="BE48" i="8" s="1"/>
  <c r="BF27" i="8"/>
  <c r="BF48" i="8" s="1"/>
  <c r="BG27" i="8"/>
  <c r="BG48" i="8" s="1"/>
  <c r="BH27" i="8"/>
  <c r="BH48" i="8" s="1"/>
  <c r="BI27" i="8"/>
  <c r="BI48" i="8" s="1"/>
  <c r="BJ27" i="8"/>
  <c r="BJ48" i="8" s="1"/>
  <c r="BK27" i="8"/>
  <c r="BK48" i="8" s="1"/>
  <c r="BL27" i="8"/>
  <c r="BL48" i="8" s="1"/>
  <c r="BM27" i="8"/>
  <c r="BM48" i="8" s="1"/>
  <c r="BN27" i="8"/>
  <c r="BN48" i="8" s="1"/>
  <c r="BO27" i="8"/>
  <c r="BO48" i="8" s="1"/>
  <c r="BP27" i="8"/>
  <c r="BP48" i="8" s="1"/>
  <c r="BQ27" i="8"/>
  <c r="BQ48" i="8" s="1"/>
  <c r="BR27" i="8"/>
  <c r="BR48" i="8" s="1"/>
  <c r="BS27" i="8"/>
  <c r="BS48" i="8" s="1"/>
  <c r="BT27" i="8"/>
  <c r="BT48" i="8" s="1"/>
  <c r="BU27" i="8"/>
  <c r="BU48" i="8" s="1"/>
  <c r="D28" i="8"/>
  <c r="E28" i="8"/>
  <c r="F28" i="8"/>
  <c r="G28" i="8"/>
  <c r="I28" i="8"/>
  <c r="I29" i="8" s="1"/>
  <c r="J28" i="8"/>
  <c r="K28" i="8"/>
  <c r="L28" i="8"/>
  <c r="L29" i="8" s="1"/>
  <c r="N28" i="8"/>
  <c r="N29" i="8" s="1"/>
  <c r="O28" i="8"/>
  <c r="O29" i="8" s="1"/>
  <c r="P28" i="8"/>
  <c r="Q28" i="8"/>
  <c r="S28" i="8"/>
  <c r="S29" i="8" s="1"/>
  <c r="T28" i="8"/>
  <c r="T29" i="8" s="1"/>
  <c r="U28" i="8"/>
  <c r="U29" i="8" s="1"/>
  <c r="V28" i="8"/>
  <c r="X28" i="8"/>
  <c r="X29" i="8" s="1"/>
  <c r="Y28" i="8"/>
  <c r="Z28" i="8"/>
  <c r="AA28" i="8"/>
  <c r="AA29" i="8" s="1"/>
  <c r="AC28" i="8"/>
  <c r="AD28" i="8"/>
  <c r="AE28" i="8"/>
  <c r="AE29" i="8" s="1"/>
  <c r="H30" i="8"/>
  <c r="H28" i="8" s="1"/>
  <c r="M30" i="8"/>
  <c r="M28" i="8" s="1"/>
  <c r="R30" i="8"/>
  <c r="W30" i="8"/>
  <c r="AB30" i="8"/>
  <c r="AG30" i="8"/>
  <c r="I31" i="8"/>
  <c r="J31" i="8"/>
  <c r="K31" i="8"/>
  <c r="L31" i="8"/>
  <c r="N31" i="8"/>
  <c r="O31" i="8"/>
  <c r="P31" i="8"/>
  <c r="Q31" i="8"/>
  <c r="S31" i="8"/>
  <c r="T31" i="8"/>
  <c r="U31" i="8"/>
  <c r="V31" i="8"/>
  <c r="X31" i="8"/>
  <c r="Y31" i="8"/>
  <c r="Z31" i="8"/>
  <c r="AA31" i="8"/>
  <c r="AC31" i="8"/>
  <c r="AD31" i="8"/>
  <c r="AE31" i="8"/>
  <c r="AF31" i="8"/>
  <c r="AH31" i="8"/>
  <c r="AI31" i="8"/>
  <c r="H32" i="8"/>
  <c r="M32" i="8"/>
  <c r="R32" i="8"/>
  <c r="W32" i="8"/>
  <c r="R33" i="8"/>
  <c r="W33" i="8"/>
  <c r="AG33" i="8"/>
  <c r="X34" i="8"/>
  <c r="Y34" i="8"/>
  <c r="Z34" i="8"/>
  <c r="AA34" i="8"/>
  <c r="AC34" i="8"/>
  <c r="AD34" i="8"/>
  <c r="AE34" i="8"/>
  <c r="AF34" i="8"/>
  <c r="AH34" i="8"/>
  <c r="AI34" i="8"/>
  <c r="W35" i="8"/>
  <c r="W36" i="8" s="1"/>
  <c r="AB35" i="8"/>
  <c r="AG35" i="8"/>
  <c r="BB35" i="8"/>
  <c r="BG35" i="8" s="1"/>
  <c r="BL35" i="8" s="1"/>
  <c r="BQ35" i="8" s="1"/>
  <c r="BC35" i="8"/>
  <c r="BH35" i="8" s="1"/>
  <c r="BM35" i="8" s="1"/>
  <c r="BR35" i="8" s="1"/>
  <c r="I36" i="8"/>
  <c r="J36" i="8"/>
  <c r="K36" i="8"/>
  <c r="L36" i="8"/>
  <c r="M36" i="8"/>
  <c r="N36" i="8"/>
  <c r="O36" i="8"/>
  <c r="P36" i="8"/>
  <c r="Q36" i="8"/>
  <c r="R36" i="8"/>
  <c r="S36" i="8"/>
  <c r="T36" i="8"/>
  <c r="U36" i="8"/>
  <c r="V36" i="8"/>
  <c r="X36" i="8"/>
  <c r="Y36" i="8"/>
  <c r="Z36" i="8"/>
  <c r="AA36" i="8"/>
  <c r="AC36" i="8"/>
  <c r="AD36" i="8"/>
  <c r="AE36" i="8"/>
  <c r="AF36" i="8"/>
  <c r="AH36" i="8"/>
  <c r="AI36" i="8"/>
  <c r="D40" i="8"/>
  <c r="E40" i="8"/>
  <c r="F40" i="8"/>
  <c r="G40" i="8"/>
  <c r="I40" i="8"/>
  <c r="J40" i="8"/>
  <c r="K40" i="8"/>
  <c r="L40" i="8"/>
  <c r="L45" i="8" s="1"/>
  <c r="N40" i="8"/>
  <c r="O40" i="8"/>
  <c r="O45" i="8" s="1"/>
  <c r="P40" i="8"/>
  <c r="P45" i="8" s="1"/>
  <c r="Q40" i="8"/>
  <c r="S40" i="8"/>
  <c r="S45" i="8" s="1"/>
  <c r="T40" i="8"/>
  <c r="T45" i="8" s="1"/>
  <c r="U40" i="8"/>
  <c r="U45" i="8" s="1"/>
  <c r="V40" i="8"/>
  <c r="V45" i="8" s="1"/>
  <c r="X40" i="8"/>
  <c r="Y40" i="8"/>
  <c r="Z40" i="8"/>
  <c r="Z45" i="8" s="1"/>
  <c r="AA40" i="8"/>
  <c r="AC40" i="8"/>
  <c r="AD40" i="8"/>
  <c r="AD45" i="8" s="1"/>
  <c r="AE40" i="8"/>
  <c r="AF40" i="8"/>
  <c r="AF45" i="8" s="1"/>
  <c r="AH40" i="8"/>
  <c r="AM45" i="8" s="1"/>
  <c r="AI40" i="8"/>
  <c r="H41" i="8"/>
  <c r="M41" i="8"/>
  <c r="N41" i="8"/>
  <c r="O41" i="8"/>
  <c r="P41" i="8"/>
  <c r="Q41" i="8"/>
  <c r="S41" i="8"/>
  <c r="S46" i="8" s="1"/>
  <c r="T41" i="8"/>
  <c r="U41" i="8"/>
  <c r="V41" i="8"/>
  <c r="Y41" i="8"/>
  <c r="Z41" i="8"/>
  <c r="AA41" i="8"/>
  <c r="AC41" i="8"/>
  <c r="AD41" i="8"/>
  <c r="AD46" i="8" s="1"/>
  <c r="AE41" i="8"/>
  <c r="AF41" i="8"/>
  <c r="AH41" i="8"/>
  <c r="AI41" i="8"/>
  <c r="A44" i="8"/>
  <c r="A45" i="8"/>
  <c r="A46" i="8"/>
  <c r="AW62" i="8"/>
  <c r="AX62" i="8"/>
  <c r="AY62" i="8"/>
  <c r="AZ62" i="8"/>
  <c r="BB59" i="8"/>
  <c r="BC59" i="8"/>
  <c r="BD59" i="8"/>
  <c r="BE59" i="8"/>
  <c r="BG59" i="8"/>
  <c r="BH59" i="8"/>
  <c r="BI59" i="8"/>
  <c r="BJ59" i="8"/>
  <c r="BL59" i="8"/>
  <c r="BM59" i="8"/>
  <c r="BN59" i="8"/>
  <c r="BO59" i="8"/>
  <c r="BQ59" i="8"/>
  <c r="BR59" i="8"/>
  <c r="BS59" i="8"/>
  <c r="BT59" i="8"/>
  <c r="AB60" i="8"/>
  <c r="AC60" i="8"/>
  <c r="AD60" i="8"/>
  <c r="AE60" i="8"/>
  <c r="AF60" i="8"/>
  <c r="AG60" i="8"/>
  <c r="AH60" i="8"/>
  <c r="AI60" i="8"/>
  <c r="W67" i="8"/>
  <c r="W75" i="8" s="1"/>
  <c r="AB67" i="8"/>
  <c r="N68" i="8"/>
  <c r="S76" i="8" s="1"/>
  <c r="W68" i="8"/>
  <c r="W76" i="8" s="1"/>
  <c r="W21" i="8" s="1"/>
  <c r="AB68" i="8"/>
  <c r="R69" i="8"/>
  <c r="R77" i="8" s="1"/>
  <c r="R85" i="8" s="1"/>
  <c r="W69" i="8"/>
  <c r="AB77" i="8" s="1"/>
  <c r="AB85" i="8" s="1"/>
  <c r="W70" i="8"/>
  <c r="W78" i="8" s="1"/>
  <c r="R71" i="8"/>
  <c r="W71" i="8"/>
  <c r="AB71" i="8"/>
  <c r="W72" i="8"/>
  <c r="W80" i="8" s="1"/>
  <c r="AB72" i="8"/>
  <c r="AB80" i="8" s="1"/>
  <c r="N75" i="8"/>
  <c r="P75" i="8"/>
  <c r="Q75" i="8"/>
  <c r="R75" i="8"/>
  <c r="S75" i="8"/>
  <c r="T75" i="8"/>
  <c r="U75" i="8"/>
  <c r="V75" i="8"/>
  <c r="X75" i="8"/>
  <c r="Y75" i="8"/>
  <c r="Z75" i="8"/>
  <c r="AA75" i="8"/>
  <c r="AC21" i="8"/>
  <c r="AD21" i="8"/>
  <c r="AE21" i="8"/>
  <c r="AF21" i="8"/>
  <c r="P76" i="8"/>
  <c r="AT271" i="2" s="1"/>
  <c r="Q76" i="8"/>
  <c r="AU271" i="2" s="1"/>
  <c r="T76" i="8"/>
  <c r="T21" i="8" s="1"/>
  <c r="U76" i="8"/>
  <c r="U21" i="8" s="1"/>
  <c r="V76" i="8"/>
  <c r="V21" i="8" s="1"/>
  <c r="X76" i="8"/>
  <c r="X21" i="8" s="1"/>
  <c r="Y76" i="8"/>
  <c r="Y21" i="8" s="1"/>
  <c r="Z76" i="8"/>
  <c r="Z21" i="8" s="1"/>
  <c r="AA76" i="8"/>
  <c r="AA21" i="8" s="1"/>
  <c r="N77" i="8"/>
  <c r="N85" i="8" s="1"/>
  <c r="O77" i="8"/>
  <c r="O85" i="8" s="1"/>
  <c r="P77" i="8"/>
  <c r="P85" i="8" s="1"/>
  <c r="Q77" i="8"/>
  <c r="Q85" i="8" s="1"/>
  <c r="S77" i="8"/>
  <c r="S85" i="8" s="1"/>
  <c r="T77" i="8"/>
  <c r="T85" i="8" s="1"/>
  <c r="U77" i="8"/>
  <c r="U85" i="8" s="1"/>
  <c r="V77" i="8"/>
  <c r="V85" i="8" s="1"/>
  <c r="X77" i="8"/>
  <c r="X85" i="8" s="1"/>
  <c r="Y77" i="8"/>
  <c r="Y85" i="8" s="1"/>
  <c r="Z77" i="8"/>
  <c r="Z85" i="8" s="1"/>
  <c r="AA77" i="8"/>
  <c r="AA85" i="8" s="1"/>
  <c r="AD85" i="8"/>
  <c r="A78" i="8"/>
  <c r="T78" i="8"/>
  <c r="U78" i="8"/>
  <c r="V78" i="8"/>
  <c r="X78" i="8"/>
  <c r="Y78" i="8"/>
  <c r="Z78" i="8"/>
  <c r="AA78" i="8"/>
  <c r="N79" i="8"/>
  <c r="N86" i="8" s="1"/>
  <c r="O79" i="8"/>
  <c r="O86" i="8" s="1"/>
  <c r="P79" i="8"/>
  <c r="P86" i="8" s="1"/>
  <c r="Q79" i="8"/>
  <c r="Q86" i="8" s="1"/>
  <c r="S79" i="8"/>
  <c r="S86" i="8" s="1"/>
  <c r="T79" i="8"/>
  <c r="T86" i="8" s="1"/>
  <c r="U79" i="8"/>
  <c r="U86" i="8" s="1"/>
  <c r="V79" i="8"/>
  <c r="V86" i="8" s="1"/>
  <c r="X79" i="8"/>
  <c r="X86" i="8" s="1"/>
  <c r="Y79" i="8"/>
  <c r="Y86" i="8" s="1"/>
  <c r="Z79" i="8"/>
  <c r="Z86" i="8" s="1"/>
  <c r="AA79" i="8"/>
  <c r="AA86" i="8" s="1"/>
  <c r="AC86" i="8"/>
  <c r="AD86" i="8"/>
  <c r="A80" i="8"/>
  <c r="T80" i="8"/>
  <c r="U80" i="8"/>
  <c r="V80" i="8"/>
  <c r="X80" i="8"/>
  <c r="Y80" i="8"/>
  <c r="Z80" i="8"/>
  <c r="AA80" i="8"/>
  <c r="E4" i="2"/>
  <c r="AM4" i="2"/>
  <c r="AM130" i="2" s="1"/>
  <c r="AQ5" i="2"/>
  <c r="AQ286" i="2" s="1"/>
  <c r="AV5" i="2"/>
  <c r="AV189" i="2" s="1"/>
  <c r="BA5" i="2"/>
  <c r="BF5" i="2"/>
  <c r="BF189" i="2" s="1"/>
  <c r="BS261" i="2"/>
  <c r="AR9" i="2"/>
  <c r="AS9" i="2"/>
  <c r="AT9" i="2"/>
  <c r="AU9" i="2"/>
  <c r="AW9" i="2"/>
  <c r="AX9" i="2"/>
  <c r="AY9" i="2"/>
  <c r="AZ9" i="2"/>
  <c r="BB9" i="2"/>
  <c r="BC9" i="2"/>
  <c r="BD9" i="2"/>
  <c r="BE9" i="2"/>
  <c r="BG9" i="2"/>
  <c r="BH9" i="2"/>
  <c r="BI9" i="2"/>
  <c r="BL9" i="2"/>
  <c r="AE11" i="2"/>
  <c r="AE185" i="2" s="1"/>
  <c r="AL11" i="2"/>
  <c r="AQ11" i="2"/>
  <c r="AV11" i="2"/>
  <c r="AW11" i="2"/>
  <c r="AW185" i="2" s="1"/>
  <c r="AX11" i="2"/>
  <c r="AX15" i="2" s="1"/>
  <c r="AX16" i="2" s="1"/>
  <c r="AY11" i="2"/>
  <c r="AY12" i="2" s="1"/>
  <c r="AZ11" i="2"/>
  <c r="AZ15" i="2" s="1"/>
  <c r="BB11" i="2"/>
  <c r="BB179" i="2" s="1"/>
  <c r="BC11" i="2"/>
  <c r="BC15" i="2" s="1"/>
  <c r="BC16" i="2" s="1"/>
  <c r="BD11" i="2"/>
  <c r="BD15" i="2" s="1"/>
  <c r="BE11" i="2"/>
  <c r="BE15" i="2" s="1"/>
  <c r="BE16" i="2" s="1"/>
  <c r="BG11" i="2"/>
  <c r="BG12" i="2" s="1"/>
  <c r="BH11" i="2"/>
  <c r="BH179" i="2" s="1"/>
  <c r="BI11" i="2"/>
  <c r="BI193" i="2" s="1"/>
  <c r="BI230" i="2" s="1"/>
  <c r="BJ11" i="2"/>
  <c r="BJ185" i="2" s="1"/>
  <c r="BL11" i="2"/>
  <c r="BL192" i="2" s="1"/>
  <c r="CK192" i="2" s="1"/>
  <c r="CP192" i="2" s="1"/>
  <c r="CU192" i="2" s="1"/>
  <c r="AM12" i="2"/>
  <c r="AN12" i="2"/>
  <c r="AO12" i="2"/>
  <c r="AP12" i="2"/>
  <c r="AR12" i="2"/>
  <c r="AR13" i="2" s="1"/>
  <c r="AS12" i="2"/>
  <c r="AS13" i="2" s="1"/>
  <c r="AT12" i="2"/>
  <c r="AT13" i="2" s="1"/>
  <c r="AU12" i="2"/>
  <c r="AU13" i="2" s="1"/>
  <c r="CF13" i="2"/>
  <c r="CG13" i="2"/>
  <c r="CH13" i="2"/>
  <c r="CK13" i="2"/>
  <c r="CL13" i="2"/>
  <c r="CM13" i="2"/>
  <c r="CP13" i="2"/>
  <c r="CQ13" i="2"/>
  <c r="CR13" i="2"/>
  <c r="CU13" i="2"/>
  <c r="CV13" i="2"/>
  <c r="CW13" i="2"/>
  <c r="I15" i="2"/>
  <c r="AM15" i="2"/>
  <c r="AM27" i="2" s="1"/>
  <c r="AN15" i="2"/>
  <c r="AN16" i="2" s="1"/>
  <c r="AO15" i="2"/>
  <c r="AO16" i="2" s="1"/>
  <c r="AP15" i="2"/>
  <c r="AP16" i="2" s="1"/>
  <c r="AR15" i="2"/>
  <c r="AR27" i="2" s="1"/>
  <c r="AS15" i="2"/>
  <c r="AS16" i="2" s="1"/>
  <c r="AS17" i="2" s="1"/>
  <c r="AT15" i="2"/>
  <c r="AT16" i="2" s="1"/>
  <c r="AU15" i="2"/>
  <c r="AU16" i="2" s="1"/>
  <c r="D19" i="2"/>
  <c r="E19" i="2"/>
  <c r="F19" i="2"/>
  <c r="G19" i="2"/>
  <c r="H19" i="2"/>
  <c r="J19" i="2"/>
  <c r="J21" i="2" s="1"/>
  <c r="K19" i="2"/>
  <c r="K21" i="2" s="1"/>
  <c r="L19" i="2"/>
  <c r="M19" i="2"/>
  <c r="M21" i="2" s="1"/>
  <c r="AE19" i="2"/>
  <c r="AE21" i="2" s="1"/>
  <c r="AW19" i="2"/>
  <c r="AW20" i="2" s="1"/>
  <c r="AW180" i="2" s="1"/>
  <c r="AX19" i="2"/>
  <c r="AX21" i="2" s="1"/>
  <c r="AY19" i="2"/>
  <c r="AY21" i="2" s="1"/>
  <c r="AZ19" i="2"/>
  <c r="AZ21" i="2" s="1"/>
  <c r="BB19" i="2"/>
  <c r="BC19" i="2"/>
  <c r="BC20" i="2" s="1"/>
  <c r="BC180" i="2" s="1"/>
  <c r="BD19" i="2"/>
  <c r="BD20" i="2" s="1"/>
  <c r="BE19" i="2"/>
  <c r="BE21" i="2" s="1"/>
  <c r="BG19" i="2"/>
  <c r="BG20" i="2" s="1"/>
  <c r="BH19" i="2"/>
  <c r="BH20" i="2" s="1"/>
  <c r="BH180" i="2" s="1"/>
  <c r="BI19" i="2"/>
  <c r="BI20" i="2" s="1"/>
  <c r="BJ19" i="2"/>
  <c r="BL19" i="2"/>
  <c r="AM20" i="2"/>
  <c r="AM180" i="2" s="1"/>
  <c r="AN20" i="2"/>
  <c r="AO20" i="2"/>
  <c r="AO180" i="2" s="1"/>
  <c r="AP20" i="2"/>
  <c r="AP180" i="2" s="1"/>
  <c r="AR20" i="2"/>
  <c r="AR22" i="2" s="1"/>
  <c r="AS20" i="2"/>
  <c r="AS180" i="2" s="1"/>
  <c r="AT20" i="2"/>
  <c r="AT180" i="2" s="1"/>
  <c r="AU20" i="2"/>
  <c r="Q21" i="2"/>
  <c r="S21" i="2"/>
  <c r="T21" i="2"/>
  <c r="U21" i="2"/>
  <c r="V21" i="2"/>
  <c r="W21" i="2"/>
  <c r="X21" i="2"/>
  <c r="Y21" i="2"/>
  <c r="Z21" i="2"/>
  <c r="AA21" i="2"/>
  <c r="AB21" i="2"/>
  <c r="AC21" i="2"/>
  <c r="AD21" i="2"/>
  <c r="AF21" i="2"/>
  <c r="AG21" i="2"/>
  <c r="AH21" i="2"/>
  <c r="AI21" i="2"/>
  <c r="AK21" i="2"/>
  <c r="AM21" i="2"/>
  <c r="AN21" i="2"/>
  <c r="AO21" i="2"/>
  <c r="AP21" i="2"/>
  <c r="AR21" i="2"/>
  <c r="AS21" i="2"/>
  <c r="AT21" i="2"/>
  <c r="AU21" i="2"/>
  <c r="AQ24" i="2"/>
  <c r="AV24" i="2"/>
  <c r="BA24" i="2"/>
  <c r="AR25" i="2"/>
  <c r="AS25" i="2"/>
  <c r="AT25" i="2"/>
  <c r="AU25" i="2"/>
  <c r="AW25" i="2"/>
  <c r="AX25" i="2"/>
  <c r="AY25" i="2"/>
  <c r="AZ25" i="2"/>
  <c r="I29" i="2"/>
  <c r="J29" i="2"/>
  <c r="K29" i="2"/>
  <c r="L29" i="2"/>
  <c r="M29" i="2"/>
  <c r="AE32" i="2"/>
  <c r="AJ33" i="2" s="1"/>
  <c r="AL32" i="2"/>
  <c r="AL33" i="2" s="1"/>
  <c r="AQ32" i="2"/>
  <c r="BD32" i="2"/>
  <c r="BE32" i="2"/>
  <c r="BG32" i="2"/>
  <c r="BH32" i="2"/>
  <c r="BI32" i="2"/>
  <c r="BJ32" i="2"/>
  <c r="BL32" i="2"/>
  <c r="AA33" i="2"/>
  <c r="AC33" i="2"/>
  <c r="AD33" i="2"/>
  <c r="AF33" i="2"/>
  <c r="AG33" i="2"/>
  <c r="AH33" i="2"/>
  <c r="AI33" i="2"/>
  <c r="AK33" i="2"/>
  <c r="AM33" i="2"/>
  <c r="AN33" i="2"/>
  <c r="AO33" i="2"/>
  <c r="AP33" i="2"/>
  <c r="W34" i="2"/>
  <c r="W35" i="2" s="1"/>
  <c r="AB34" i="2"/>
  <c r="AB35" i="2" s="1"/>
  <c r="AG34" i="2"/>
  <c r="AH34" i="2"/>
  <c r="AH35" i="2" s="1"/>
  <c r="AI34" i="2"/>
  <c r="AI35" i="2" s="1"/>
  <c r="AJ34" i="2"/>
  <c r="AJ35" i="2" s="1"/>
  <c r="AK34" i="2"/>
  <c r="AK35" i="2" s="1"/>
  <c r="AM34" i="2"/>
  <c r="AM35" i="2" s="1"/>
  <c r="AN34" i="2"/>
  <c r="AN35" i="2" s="1"/>
  <c r="AO34" i="2"/>
  <c r="AO35" i="2" s="1"/>
  <c r="AP34" i="2"/>
  <c r="AP35" i="2" s="1"/>
  <c r="AR34" i="2"/>
  <c r="AR35" i="2" s="1"/>
  <c r="AR32" i="2" s="1"/>
  <c r="AS34" i="2"/>
  <c r="AS35" i="2" s="1"/>
  <c r="AT34" i="2"/>
  <c r="AT35" i="2" s="1"/>
  <c r="AT32" i="2" s="1"/>
  <c r="AU34" i="2"/>
  <c r="AU35" i="2" s="1"/>
  <c r="AU32" i="2" s="1"/>
  <c r="AW34" i="2"/>
  <c r="AW35" i="2" s="1"/>
  <c r="AX34" i="2"/>
  <c r="AX35" i="2" s="1"/>
  <c r="AY34" i="2"/>
  <c r="AZ34" i="2"/>
  <c r="AZ35" i="2" s="1"/>
  <c r="BB34" i="2"/>
  <c r="BB35" i="2" s="1"/>
  <c r="BC34" i="2"/>
  <c r="BC35" i="2" s="1"/>
  <c r="BC32" i="2" s="1"/>
  <c r="BK34" i="2"/>
  <c r="BU34" i="2"/>
  <c r="BZ34" i="2"/>
  <c r="CE34" i="2"/>
  <c r="CJ34" i="2"/>
  <c r="CO34" i="2"/>
  <c r="CT34" i="2"/>
  <c r="CY34" i="2"/>
  <c r="D35" i="2"/>
  <c r="E35" i="2"/>
  <c r="F35" i="2"/>
  <c r="G35" i="2"/>
  <c r="H35" i="2"/>
  <c r="I35" i="2"/>
  <c r="J35" i="2"/>
  <c r="K35" i="2"/>
  <c r="L35" i="2"/>
  <c r="M35" i="2"/>
  <c r="N35" i="2"/>
  <c r="O35" i="2"/>
  <c r="P35" i="2"/>
  <c r="Q35" i="2"/>
  <c r="R35" i="2"/>
  <c r="S35" i="2"/>
  <c r="T35" i="2"/>
  <c r="U35" i="2"/>
  <c r="V35" i="2"/>
  <c r="X35" i="2"/>
  <c r="Y35" i="2"/>
  <c r="Z35" i="2"/>
  <c r="AA35" i="2"/>
  <c r="AC35" i="2"/>
  <c r="AD35" i="2"/>
  <c r="AF35" i="2"/>
  <c r="BK35" i="2"/>
  <c r="D37" i="2"/>
  <c r="D48" i="2" s="1"/>
  <c r="D50" i="2" s="1"/>
  <c r="D52" i="2" s="1"/>
  <c r="E37" i="2"/>
  <c r="E48" i="2" s="1"/>
  <c r="E50" i="2" s="1"/>
  <c r="E52" i="2" s="1"/>
  <c r="F37" i="2"/>
  <c r="F48" i="2" s="1"/>
  <c r="F50" i="2" s="1"/>
  <c r="F52" i="2" s="1"/>
  <c r="G37" i="2"/>
  <c r="H37" i="2"/>
  <c r="H222" i="2" s="1"/>
  <c r="I37" i="2"/>
  <c r="I48" i="2" s="1"/>
  <c r="I50" i="2" s="1"/>
  <c r="I52" i="2" s="1"/>
  <c r="J37" i="2"/>
  <c r="J222" i="2" s="1"/>
  <c r="K37" i="2"/>
  <c r="L37" i="2"/>
  <c r="L222" i="2" s="1"/>
  <c r="M37" i="2"/>
  <c r="M48" i="2" s="1"/>
  <c r="M50" i="2" s="1"/>
  <c r="M52" i="2" s="1"/>
  <c r="BA41" i="2"/>
  <c r="BF41" i="2"/>
  <c r="BG41" i="2"/>
  <c r="BK41" i="2"/>
  <c r="H46" i="2"/>
  <c r="AG46" i="2"/>
  <c r="AG288" i="2" s="1"/>
  <c r="AL46" i="2"/>
  <c r="AL288" i="2" s="1"/>
  <c r="AQ46" i="2"/>
  <c r="AQ288" i="2" s="1"/>
  <c r="AV46" i="2"/>
  <c r="AV288" i="2" s="1"/>
  <c r="BA46" i="2"/>
  <c r="BA288" i="2" s="1"/>
  <c r="BF46" i="2"/>
  <c r="BF288" i="2" s="1"/>
  <c r="BK46" i="2"/>
  <c r="BK288" i="2" s="1"/>
  <c r="BU288" i="2"/>
  <c r="BZ288" i="2"/>
  <c r="CE46" i="2"/>
  <c r="CE288" i="2" s="1"/>
  <c r="CJ46" i="2"/>
  <c r="CJ288" i="2" s="1"/>
  <c r="CO46" i="2"/>
  <c r="CO288" i="2" s="1"/>
  <c r="CT46" i="2"/>
  <c r="CT288" i="2" s="1"/>
  <c r="CY46" i="2"/>
  <c r="CY288" i="2" s="1"/>
  <c r="G48" i="2"/>
  <c r="G50" i="2" s="1"/>
  <c r="G52" i="2" s="1"/>
  <c r="L48" i="2"/>
  <c r="L50" i="2" s="1"/>
  <c r="L52" i="2" s="1"/>
  <c r="L181" i="2" s="1"/>
  <c r="AE50" i="2"/>
  <c r="BB50" i="2"/>
  <c r="BC50" i="2"/>
  <c r="BD50" i="2"/>
  <c r="BE50" i="2"/>
  <c r="BG50" i="2"/>
  <c r="BH50" i="2"/>
  <c r="AO52" i="2"/>
  <c r="AO181" i="2" s="1"/>
  <c r="AP52" i="2"/>
  <c r="AP181" i="2" s="1"/>
  <c r="AR52" i="2"/>
  <c r="AR181" i="2" s="1"/>
  <c r="AS52" i="2"/>
  <c r="AS181" i="2" s="1"/>
  <c r="AW52" i="2"/>
  <c r="AW223" i="2" s="1"/>
  <c r="AX52" i="2"/>
  <c r="AX181" i="2" s="1"/>
  <c r="AY52" i="2"/>
  <c r="AY181" i="2" s="1"/>
  <c r="AZ52" i="2"/>
  <c r="AZ181" i="2" s="1"/>
  <c r="CC181" i="2"/>
  <c r="CO181" i="2"/>
  <c r="AQ56" i="2"/>
  <c r="AV56" i="2"/>
  <c r="BA56" i="2"/>
  <c r="BF56" i="2"/>
  <c r="BJ56" i="2"/>
  <c r="BK56" i="2" s="1"/>
  <c r="BL56" i="2"/>
  <c r="BM56" i="2"/>
  <c r="I60" i="2"/>
  <c r="J60" i="2"/>
  <c r="K60" i="2"/>
  <c r="L60" i="2"/>
  <c r="M60" i="2"/>
  <c r="I68" i="2"/>
  <c r="I72" i="2" s="1"/>
  <c r="I73" i="2" s="1"/>
  <c r="I75" i="2" s="1"/>
  <c r="AL68" i="2"/>
  <c r="AO68" i="2"/>
  <c r="AV68" i="2"/>
  <c r="BA68" i="2"/>
  <c r="AE69" i="2"/>
  <c r="AL69" i="2"/>
  <c r="AO69" i="2"/>
  <c r="AV69" i="2"/>
  <c r="BA69" i="2"/>
  <c r="L70" i="2"/>
  <c r="M70" i="2"/>
  <c r="AE70" i="2"/>
  <c r="AL70" i="2"/>
  <c r="AO70" i="2"/>
  <c r="AV70" i="2"/>
  <c r="BA70" i="2"/>
  <c r="D71" i="2"/>
  <c r="D72" i="2" s="1"/>
  <c r="D73" i="2" s="1"/>
  <c r="E71" i="2"/>
  <c r="E72" i="2" s="1"/>
  <c r="E73" i="2" s="1"/>
  <c r="H71" i="2"/>
  <c r="H72" i="2" s="1"/>
  <c r="H73" i="2" s="1"/>
  <c r="L71" i="2"/>
  <c r="M71" i="2"/>
  <c r="AE71" i="2"/>
  <c r="AK71" i="2"/>
  <c r="AK72" i="2" s="1"/>
  <c r="AT71" i="2"/>
  <c r="AU71" i="2"/>
  <c r="AU72" i="2" s="1"/>
  <c r="BA71" i="2"/>
  <c r="F72" i="2"/>
  <c r="F73" i="2" s="1"/>
  <c r="G72" i="2"/>
  <c r="G73" i="2" s="1"/>
  <c r="J72" i="2"/>
  <c r="J73" i="2" s="1"/>
  <c r="J54" i="2" s="1"/>
  <c r="K72" i="2"/>
  <c r="K73" i="2" s="1"/>
  <c r="N72" i="2"/>
  <c r="O72" i="2"/>
  <c r="P72" i="2"/>
  <c r="Q72" i="2"/>
  <c r="R72" i="2"/>
  <c r="S72" i="2"/>
  <c r="T72" i="2"/>
  <c r="U72" i="2"/>
  <c r="V72" i="2"/>
  <c r="W72" i="2"/>
  <c r="X72" i="2"/>
  <c r="Y72" i="2"/>
  <c r="Z72" i="2"/>
  <c r="AA72" i="2"/>
  <c r="AB72" i="2"/>
  <c r="AC72" i="2"/>
  <c r="AD72" i="2"/>
  <c r="AF72" i="2"/>
  <c r="AG72" i="2"/>
  <c r="AH72" i="2"/>
  <c r="AI72" i="2"/>
  <c r="AJ72" i="2"/>
  <c r="AQ72" i="2"/>
  <c r="AR72" i="2"/>
  <c r="AS72" i="2"/>
  <c r="AW72" i="2"/>
  <c r="AX72" i="2"/>
  <c r="AY72" i="2"/>
  <c r="AZ72" i="2"/>
  <c r="BB72" i="2"/>
  <c r="BC72" i="2"/>
  <c r="BD72" i="2"/>
  <c r="BE72" i="2"/>
  <c r="BF72" i="2"/>
  <c r="BG72" i="2"/>
  <c r="BH72" i="2"/>
  <c r="BI72" i="2"/>
  <c r="BJ72" i="2"/>
  <c r="BK72" i="2"/>
  <c r="BL72" i="2"/>
  <c r="BM72" i="2"/>
  <c r="BR72" i="2"/>
  <c r="BS72" i="2"/>
  <c r="BT72" i="2"/>
  <c r="BW72" i="2"/>
  <c r="CI72" i="2"/>
  <c r="CK72" i="2"/>
  <c r="CL72" i="2"/>
  <c r="CM72" i="2"/>
  <c r="CN72" i="2"/>
  <c r="CP72" i="2"/>
  <c r="CQ72" i="2"/>
  <c r="CR72" i="2"/>
  <c r="CS72" i="2"/>
  <c r="CU72" i="2"/>
  <c r="CV72" i="2"/>
  <c r="CW72" i="2"/>
  <c r="CX72" i="2"/>
  <c r="R77" i="2"/>
  <c r="R85" i="2" s="1"/>
  <c r="W77" i="2"/>
  <c r="W85" i="2" s="1"/>
  <c r="AB77" i="2"/>
  <c r="AB85" i="2" s="1"/>
  <c r="AG77" i="2"/>
  <c r="AG85" i="2" s="1"/>
  <c r="AK77" i="2"/>
  <c r="AL77" i="2" s="1"/>
  <c r="AL85" i="2" s="1"/>
  <c r="AM77" i="2"/>
  <c r="AM85" i="2" s="1"/>
  <c r="AN77" i="2"/>
  <c r="AN85" i="2" s="1"/>
  <c r="AO77" i="2"/>
  <c r="AP77" i="2"/>
  <c r="AP85" i="2" s="1"/>
  <c r="AQ77" i="2"/>
  <c r="AQ85" i="2" s="1"/>
  <c r="AR77" i="2"/>
  <c r="AR85" i="2" s="1"/>
  <c r="AS77" i="2"/>
  <c r="AS85" i="2" s="1"/>
  <c r="AT77" i="2"/>
  <c r="AT85" i="2" s="1"/>
  <c r="AU77" i="2"/>
  <c r="AU85" i="2" s="1"/>
  <c r="AV77" i="2"/>
  <c r="AV85" i="2" s="1"/>
  <c r="AW77" i="2"/>
  <c r="AW85" i="2" s="1"/>
  <c r="AX77" i="2"/>
  <c r="AX85" i="2" s="1"/>
  <c r="AY77" i="2"/>
  <c r="AY85" i="2" s="1"/>
  <c r="AZ77" i="2"/>
  <c r="AZ85" i="2" s="1"/>
  <c r="BA77" i="2"/>
  <c r="BA85" i="2" s="1"/>
  <c r="BB77" i="2"/>
  <c r="BB85" i="2" s="1"/>
  <c r="BC77" i="2"/>
  <c r="BC85" i="2" s="1"/>
  <c r="BD77" i="2"/>
  <c r="BD85" i="2" s="1"/>
  <c r="BE77" i="2"/>
  <c r="BE85" i="2" s="1"/>
  <c r="BF77" i="2"/>
  <c r="BF85" i="2" s="1"/>
  <c r="BG77" i="2"/>
  <c r="BG85" i="2" s="1"/>
  <c r="BH77" i="2"/>
  <c r="BH85" i="2" s="1"/>
  <c r="BI77" i="2"/>
  <c r="BI85" i="2" s="1"/>
  <c r="BJ77" i="2"/>
  <c r="BL77" i="2"/>
  <c r="BL85" i="2" s="1"/>
  <c r="BM77" i="2"/>
  <c r="BM85" i="2" s="1"/>
  <c r="D78" i="2"/>
  <c r="D60" i="2" s="1"/>
  <c r="E78" i="2"/>
  <c r="E60" i="2" s="1"/>
  <c r="F78" i="2"/>
  <c r="F60" i="2" s="1"/>
  <c r="G78" i="2"/>
  <c r="G60" i="2" s="1"/>
  <c r="H78" i="2"/>
  <c r="H60" i="2" s="1"/>
  <c r="AL78" i="2"/>
  <c r="AL87" i="2" s="1"/>
  <c r="BK78" i="2"/>
  <c r="BK87" i="2" s="1"/>
  <c r="BK79" i="2"/>
  <c r="AL80" i="2"/>
  <c r="AN80" i="2"/>
  <c r="AO80" i="2"/>
  <c r="AP80" i="2"/>
  <c r="AR80" i="2"/>
  <c r="AX80" i="2"/>
  <c r="AY80" i="2"/>
  <c r="AZ80" i="2"/>
  <c r="BB80" i="2"/>
  <c r="BC80" i="2"/>
  <c r="BD80" i="2"/>
  <c r="BF80" i="2"/>
  <c r="BK80" i="2"/>
  <c r="BL80" i="2"/>
  <c r="BM80" i="2"/>
  <c r="BN80" i="2"/>
  <c r="CO80" i="2"/>
  <c r="O81" i="2"/>
  <c r="P81" i="2"/>
  <c r="Q81" i="2"/>
  <c r="R81" i="2"/>
  <c r="T81" i="2"/>
  <c r="U81" i="2"/>
  <c r="V81" i="2"/>
  <c r="Y81" i="2"/>
  <c r="Z81" i="2"/>
  <c r="AA81" i="2"/>
  <c r="AD81" i="2"/>
  <c r="AE81" i="2"/>
  <c r="AF81" i="2"/>
  <c r="AI81" i="2"/>
  <c r="AJ81" i="2"/>
  <c r="AK81" i="2"/>
  <c r="O83" i="2"/>
  <c r="P83" i="2"/>
  <c r="Q83" i="2"/>
  <c r="R83" i="2"/>
  <c r="S83" i="2"/>
  <c r="U83" i="2"/>
  <c r="V83" i="2"/>
  <c r="W83" i="2"/>
  <c r="X83" i="2"/>
  <c r="Y83" i="2"/>
  <c r="Z83" i="2"/>
  <c r="AA83" i="2"/>
  <c r="AB83" i="2"/>
  <c r="AC83" i="2"/>
  <c r="AD83" i="2"/>
  <c r="AE83" i="2"/>
  <c r="AF83" i="2"/>
  <c r="AG83" i="2"/>
  <c r="AH83" i="2"/>
  <c r="AI83" i="2"/>
  <c r="AJ83" i="2"/>
  <c r="AK83" i="2"/>
  <c r="AM83" i="2"/>
  <c r="AN83" i="2"/>
  <c r="AP83" i="2"/>
  <c r="AR83" i="2"/>
  <c r="AS83" i="2"/>
  <c r="AT83" i="2"/>
  <c r="AZ83" i="2"/>
  <c r="BB83" i="2"/>
  <c r="BC83" i="2"/>
  <c r="BD83" i="2"/>
  <c r="BE83" i="2"/>
  <c r="BG83" i="2"/>
  <c r="BH83" i="2"/>
  <c r="BI83" i="2"/>
  <c r="BJ83" i="2"/>
  <c r="BL83" i="2"/>
  <c r="R84" i="2"/>
  <c r="W81" i="2" s="1"/>
  <c r="W84" i="2"/>
  <c r="X81" i="2" s="1"/>
  <c r="AB84" i="2"/>
  <c r="AC81" i="2" s="1"/>
  <c r="AG84" i="2"/>
  <c r="AL81" i="2" s="1"/>
  <c r="AK84" i="2"/>
  <c r="AL84" i="2" s="1"/>
  <c r="AM84" i="2"/>
  <c r="AN81" i="2" s="1"/>
  <c r="AN84" i="2"/>
  <c r="AO81" i="2" s="1"/>
  <c r="AO84" i="2"/>
  <c r="AP81" i="2" s="1"/>
  <c r="AP84" i="2"/>
  <c r="AQ84" i="2" s="1"/>
  <c r="AR81" i="2" s="1"/>
  <c r="AR84" i="2"/>
  <c r="AS81" i="2" s="1"/>
  <c r="AS84" i="2"/>
  <c r="AT81" i="2" s="1"/>
  <c r="AT84" i="2"/>
  <c r="AU81" i="2" s="1"/>
  <c r="AU84" i="2"/>
  <c r="AV84" i="2" s="1"/>
  <c r="AW81" i="2" s="1"/>
  <c r="AW84" i="2"/>
  <c r="AX81" i="2" s="1"/>
  <c r="AX84" i="2"/>
  <c r="AY81" i="2" s="1"/>
  <c r="AY84" i="2"/>
  <c r="AZ81" i="2" s="1"/>
  <c r="AZ84" i="2"/>
  <c r="BA84" i="2" s="1"/>
  <c r="BB84" i="2"/>
  <c r="BC81" i="2" s="1"/>
  <c r="BC84" i="2"/>
  <c r="BD81" i="2" s="1"/>
  <c r="BD84" i="2"/>
  <c r="BE81" i="2" s="1"/>
  <c r="BE84" i="2"/>
  <c r="BG84" i="2"/>
  <c r="BH81" i="2" s="1"/>
  <c r="BH84" i="2"/>
  <c r="BI84" i="2"/>
  <c r="BJ81" i="2" s="1"/>
  <c r="BJ84" i="2"/>
  <c r="BK84" i="2" s="1"/>
  <c r="BP81" i="2" s="1"/>
  <c r="N85" i="2"/>
  <c r="O85" i="2"/>
  <c r="P85" i="2"/>
  <c r="Q85" i="2"/>
  <c r="S85" i="2"/>
  <c r="T85" i="2"/>
  <c r="U85" i="2"/>
  <c r="V85" i="2"/>
  <c r="X85" i="2"/>
  <c r="Y85" i="2"/>
  <c r="Z85" i="2"/>
  <c r="AA85" i="2"/>
  <c r="AC85" i="2"/>
  <c r="AD85" i="2"/>
  <c r="AE85" i="2"/>
  <c r="AF85" i="2"/>
  <c r="AH85" i="2"/>
  <c r="AI85" i="2"/>
  <c r="AJ85" i="2"/>
  <c r="AO85" i="2"/>
  <c r="N87" i="2"/>
  <c r="O87" i="2"/>
  <c r="P87" i="2"/>
  <c r="Q87" i="2"/>
  <c r="R87" i="2"/>
  <c r="S87" i="2"/>
  <c r="T87" i="2"/>
  <c r="U87" i="2"/>
  <c r="V87" i="2"/>
  <c r="W87" i="2"/>
  <c r="X87" i="2"/>
  <c r="X86" i="2" s="1"/>
  <c r="Y87" i="2"/>
  <c r="Z87" i="2"/>
  <c r="AA87" i="2"/>
  <c r="AB87" i="2"/>
  <c r="AC87" i="2"/>
  <c r="AD87" i="2"/>
  <c r="AE87" i="2"/>
  <c r="AF87" i="2"/>
  <c r="AG87" i="2"/>
  <c r="AH87" i="2"/>
  <c r="AI87" i="2"/>
  <c r="AJ87" i="2"/>
  <c r="AK87" i="2"/>
  <c r="AM87" i="2"/>
  <c r="AN87" i="2"/>
  <c r="AO87" i="2"/>
  <c r="AP87" i="2"/>
  <c r="AQ87" i="2"/>
  <c r="AR87" i="2"/>
  <c r="AS87" i="2"/>
  <c r="AT87" i="2"/>
  <c r="AU87" i="2"/>
  <c r="AV87" i="2"/>
  <c r="AW87" i="2"/>
  <c r="AX87" i="2"/>
  <c r="AY87" i="2"/>
  <c r="AZ87" i="2"/>
  <c r="BA87" i="2"/>
  <c r="BB87" i="2"/>
  <c r="BC87" i="2"/>
  <c r="BD87" i="2"/>
  <c r="BE87" i="2"/>
  <c r="BF87" i="2"/>
  <c r="BG87" i="2"/>
  <c r="BH87" i="2"/>
  <c r="BI87" i="2"/>
  <c r="BJ87" i="2"/>
  <c r="BL87" i="2"/>
  <c r="BM87" i="2"/>
  <c r="H89" i="2"/>
  <c r="M89" i="2"/>
  <c r="R89" i="2"/>
  <c r="W89" i="2"/>
  <c r="AB89" i="2"/>
  <c r="AG89" i="2"/>
  <c r="AK89" i="2"/>
  <c r="AL89" i="2"/>
  <c r="AP89" i="2"/>
  <c r="AQ89" i="2"/>
  <c r="AR89" i="2"/>
  <c r="AS89" i="2"/>
  <c r="AT89" i="2"/>
  <c r="AU89" i="2"/>
  <c r="AV89" i="2"/>
  <c r="AW89" i="2"/>
  <c r="AX89" i="2"/>
  <c r="AY89" i="2"/>
  <c r="AZ89" i="2"/>
  <c r="BA89" i="2"/>
  <c r="BB89" i="2"/>
  <c r="BC89" i="2"/>
  <c r="BD89" i="2"/>
  <c r="BE89" i="2"/>
  <c r="BF89" i="2"/>
  <c r="BG89" i="2"/>
  <c r="BH89" i="2"/>
  <c r="BI89" i="2"/>
  <c r="BJ89" i="2"/>
  <c r="BK89" i="2"/>
  <c r="BL89" i="2"/>
  <c r="BM89" i="2"/>
  <c r="BN89" i="2"/>
  <c r="BO89" i="2"/>
  <c r="BP89" i="2"/>
  <c r="BQ89" i="2"/>
  <c r="BR89" i="2"/>
  <c r="BS89" i="2"/>
  <c r="BT89" i="2"/>
  <c r="BU89" i="2"/>
  <c r="BV89" i="2"/>
  <c r="BW89" i="2"/>
  <c r="BX89" i="2"/>
  <c r="BY89" i="2"/>
  <c r="BZ89" i="2"/>
  <c r="CA89" i="2"/>
  <c r="CB89" i="2"/>
  <c r="CC89" i="2"/>
  <c r="CD89" i="2"/>
  <c r="CE89" i="2"/>
  <c r="CF89" i="2"/>
  <c r="CG89" i="2"/>
  <c r="CH89" i="2"/>
  <c r="CI89" i="2"/>
  <c r="CJ89" i="2"/>
  <c r="CK89" i="2"/>
  <c r="CL89" i="2"/>
  <c r="CM89" i="2"/>
  <c r="CN89" i="2"/>
  <c r="CO89" i="2"/>
  <c r="CP89" i="2"/>
  <c r="CQ89" i="2"/>
  <c r="CR89" i="2"/>
  <c r="CS89" i="2"/>
  <c r="CT89" i="2"/>
  <c r="CU89" i="2"/>
  <c r="CV89" i="2"/>
  <c r="CW89" i="2"/>
  <c r="CX89" i="2"/>
  <c r="CY89" i="2"/>
  <c r="H92" i="2"/>
  <c r="M92" i="2"/>
  <c r="R92" i="2"/>
  <c r="W92" i="2"/>
  <c r="AA92" i="2"/>
  <c r="AF92" i="2"/>
  <c r="AH92" i="2"/>
  <c r="AH97" i="2" s="1"/>
  <c r="H93" i="2"/>
  <c r="H211" i="2" s="1"/>
  <c r="M93" i="2"/>
  <c r="R93" i="2"/>
  <c r="W93" i="2"/>
  <c r="AA93" i="2"/>
  <c r="AA211" i="2" s="1"/>
  <c r="AF93" i="2"/>
  <c r="AL93" i="2"/>
  <c r="AL211" i="2" s="1"/>
  <c r="AQ93" i="2"/>
  <c r="AV93" i="2"/>
  <c r="AX93" i="2"/>
  <c r="AX182" i="2" s="1"/>
  <c r="BA93" i="2"/>
  <c r="BF93" i="2"/>
  <c r="BF182" i="2" s="1"/>
  <c r="BK93" i="2"/>
  <c r="H94" i="2"/>
  <c r="M94" i="2"/>
  <c r="R94" i="2"/>
  <c r="W94" i="2"/>
  <c r="AA94" i="2"/>
  <c r="AF94" i="2"/>
  <c r="AL94" i="2"/>
  <c r="AQ94" i="2"/>
  <c r="AV94" i="2"/>
  <c r="BA94" i="2"/>
  <c r="BF94" i="2"/>
  <c r="BK94" i="2"/>
  <c r="H95" i="2"/>
  <c r="M95" i="2"/>
  <c r="R95" i="2"/>
  <c r="R185" i="2" s="1"/>
  <c r="W95" i="2"/>
  <c r="W185" i="2" s="1"/>
  <c r="AA95" i="2"/>
  <c r="AA185" i="2" s="1"/>
  <c r="AF95" i="2"/>
  <c r="AF185" i="2" s="1"/>
  <c r="AL95" i="2"/>
  <c r="AQ95" i="2"/>
  <c r="AV95" i="2"/>
  <c r="BA95" i="2"/>
  <c r="BF95" i="2"/>
  <c r="BK95" i="2"/>
  <c r="H96" i="2"/>
  <c r="M96" i="2"/>
  <c r="R96" i="2"/>
  <c r="W96" i="2"/>
  <c r="AA96" i="2"/>
  <c r="AF96" i="2"/>
  <c r="AL96" i="2"/>
  <c r="AQ96" i="2"/>
  <c r="AV96" i="2"/>
  <c r="BA96" i="2"/>
  <c r="BF96" i="2"/>
  <c r="BK96" i="2"/>
  <c r="D97" i="2"/>
  <c r="E97" i="2"/>
  <c r="F97" i="2"/>
  <c r="G97" i="2"/>
  <c r="I97" i="2"/>
  <c r="J97" i="2"/>
  <c r="K97" i="2"/>
  <c r="L97" i="2"/>
  <c r="N97" i="2"/>
  <c r="O97" i="2"/>
  <c r="P97" i="2"/>
  <c r="Q97" i="2"/>
  <c r="S97" i="2"/>
  <c r="T97" i="2"/>
  <c r="U97" i="2"/>
  <c r="V97" i="2"/>
  <c r="X97" i="2"/>
  <c r="Y97" i="2"/>
  <c r="Z97" i="2"/>
  <c r="AB97" i="2"/>
  <c r="AC97" i="2"/>
  <c r="AD97" i="2"/>
  <c r="AE97" i="2"/>
  <c r="AG97" i="2"/>
  <c r="AI97" i="2"/>
  <c r="AJ97" i="2"/>
  <c r="AK97" i="2"/>
  <c r="AM97" i="2"/>
  <c r="AN97" i="2"/>
  <c r="AO97" i="2"/>
  <c r="AR97" i="2"/>
  <c r="AS97" i="2"/>
  <c r="AT97" i="2"/>
  <c r="AU97" i="2"/>
  <c r="AW97" i="2"/>
  <c r="AY97" i="2"/>
  <c r="AZ97" i="2"/>
  <c r="BB97" i="2"/>
  <c r="BC97" i="2"/>
  <c r="BD97" i="2"/>
  <c r="BE97" i="2"/>
  <c r="BG97" i="2"/>
  <c r="BH97" i="2"/>
  <c r="BI97" i="2"/>
  <c r="BJ97" i="2"/>
  <c r="BL97" i="2"/>
  <c r="BM97" i="2"/>
  <c r="H99" i="2"/>
  <c r="M99" i="2"/>
  <c r="R99" i="2"/>
  <c r="W99" i="2"/>
  <c r="AA99" i="2"/>
  <c r="AF99" i="2"/>
  <c r="AL99" i="2"/>
  <c r="AQ99" i="2"/>
  <c r="AV99" i="2"/>
  <c r="BA99" i="2"/>
  <c r="BA190" i="2" s="1"/>
  <c r="BF99" i="2"/>
  <c r="BF190" i="2" s="1"/>
  <c r="BK99" i="2"/>
  <c r="BL190" i="2" s="1"/>
  <c r="D100" i="2"/>
  <c r="E100" i="2"/>
  <c r="F100" i="2"/>
  <c r="G100" i="2"/>
  <c r="H100" i="2" s="1"/>
  <c r="I100" i="2"/>
  <c r="J100" i="2"/>
  <c r="K100" i="2"/>
  <c r="L100" i="2"/>
  <c r="M100" i="2" s="1"/>
  <c r="N100" i="2"/>
  <c r="O100" i="2"/>
  <c r="P100" i="2"/>
  <c r="Q100" i="2"/>
  <c r="R100" i="2" s="1"/>
  <c r="S100" i="2"/>
  <c r="T100" i="2"/>
  <c r="U100" i="2"/>
  <c r="V100" i="2"/>
  <c r="X100" i="2"/>
  <c r="Y100" i="2"/>
  <c r="Z100" i="2"/>
  <c r="AB100" i="2"/>
  <c r="AC100" i="2"/>
  <c r="AD100" i="2"/>
  <c r="AE100" i="2"/>
  <c r="AG100" i="2"/>
  <c r="AF100" i="2" s="1"/>
  <c r="AH100" i="2"/>
  <c r="AI100" i="2"/>
  <c r="AJ100" i="2"/>
  <c r="AK100" i="2"/>
  <c r="AL100" i="2" s="1"/>
  <c r="AM100" i="2"/>
  <c r="AN100" i="2"/>
  <c r="AO100" i="2"/>
  <c r="AP100" i="2"/>
  <c r="AQ100" i="2" s="1"/>
  <c r="AR100" i="2"/>
  <c r="AS100" i="2"/>
  <c r="AT100" i="2"/>
  <c r="AU100" i="2"/>
  <c r="AV100" i="2" s="1"/>
  <c r="AW100" i="2"/>
  <c r="AX100" i="2"/>
  <c r="AY100" i="2"/>
  <c r="AZ100" i="2"/>
  <c r="BA100" i="2" s="1"/>
  <c r="BB100" i="2"/>
  <c r="BC100" i="2"/>
  <c r="BD100" i="2"/>
  <c r="BE100" i="2"/>
  <c r="BF100" i="2" s="1"/>
  <c r="BG100" i="2"/>
  <c r="BH100" i="2"/>
  <c r="BI100" i="2"/>
  <c r="BJ100" i="2"/>
  <c r="BK100" i="2" s="1"/>
  <c r="BL100" i="2"/>
  <c r="BM100" i="2"/>
  <c r="H101" i="2"/>
  <c r="M101" i="2"/>
  <c r="Q101" i="2"/>
  <c r="S101" i="2"/>
  <c r="T101" i="2"/>
  <c r="U101" i="2"/>
  <c r="V101" i="2"/>
  <c r="W101" i="2" s="1"/>
  <c r="X101" i="2"/>
  <c r="Y101" i="2"/>
  <c r="Z101" i="2"/>
  <c r="AA101" i="2"/>
  <c r="AC101" i="2"/>
  <c r="AF101" i="2"/>
  <c r="AL101" i="2"/>
  <c r="AQ101" i="2"/>
  <c r="AV101" i="2"/>
  <c r="AX101" i="2"/>
  <c r="AY101" i="2"/>
  <c r="BA101" i="2"/>
  <c r="BB101" i="2"/>
  <c r="BF101" i="2"/>
  <c r="BK101" i="2"/>
  <c r="H105" i="2"/>
  <c r="M105" i="2"/>
  <c r="R105" i="2"/>
  <c r="W105" i="2"/>
  <c r="AA105" i="2"/>
  <c r="AF105" i="2"/>
  <c r="AQ105" i="2"/>
  <c r="H106" i="2"/>
  <c r="M106" i="2"/>
  <c r="R106" i="2"/>
  <c r="W106" i="2"/>
  <c r="AA106" i="2"/>
  <c r="AF106" i="2"/>
  <c r="AL106" i="2"/>
  <c r="AQ106" i="2"/>
  <c r="AV106" i="2"/>
  <c r="BA106" i="2"/>
  <c r="BF106" i="2"/>
  <c r="BK106" i="2"/>
  <c r="BP106" i="2"/>
  <c r="BU106" i="2" s="1"/>
  <c r="H107" i="2"/>
  <c r="M107" i="2"/>
  <c r="R107" i="2"/>
  <c r="R192" i="2" s="1"/>
  <c r="W107" i="2"/>
  <c r="W192" i="2" s="1"/>
  <c r="AA107" i="2"/>
  <c r="AA193" i="2" s="1"/>
  <c r="AA230" i="2" s="1"/>
  <c r="AF107" i="2"/>
  <c r="AF192" i="2" s="1"/>
  <c r="AL107" i="2"/>
  <c r="AQ107" i="2"/>
  <c r="AV107" i="2"/>
  <c r="BA107" i="2"/>
  <c r="BF107" i="2"/>
  <c r="BK107" i="2"/>
  <c r="E108" i="2"/>
  <c r="E109" i="2" s="1"/>
  <c r="E114" i="2" s="1"/>
  <c r="H108" i="2"/>
  <c r="M108" i="2"/>
  <c r="R108" i="2"/>
  <c r="W108" i="2"/>
  <c r="AB108" i="2"/>
  <c r="AB109" i="2" s="1"/>
  <c r="AB114" i="2" s="1"/>
  <c r="AE108" i="2"/>
  <c r="AE109" i="2" s="1"/>
  <c r="AE114" i="2" s="1"/>
  <c r="AG108" i="2"/>
  <c r="AF108" i="2" s="1"/>
  <c r="AH108" i="2"/>
  <c r="AH109" i="2" s="1"/>
  <c r="AH114" i="2" s="1"/>
  <c r="AI108" i="2"/>
  <c r="AI109" i="2" s="1"/>
  <c r="AI114" i="2" s="1"/>
  <c r="AI126" i="2" s="1"/>
  <c r="AJ108" i="2"/>
  <c r="AJ109" i="2" s="1"/>
  <c r="AJ114" i="2" s="1"/>
  <c r="AK108" i="2"/>
  <c r="AL108" i="2" s="1"/>
  <c r="AM108" i="2"/>
  <c r="AM109" i="2" s="1"/>
  <c r="AM114" i="2" s="1"/>
  <c r="AN108" i="2"/>
  <c r="AN109" i="2" s="1"/>
  <c r="AN114" i="2" s="1"/>
  <c r="AO108" i="2"/>
  <c r="AO194" i="2" s="1"/>
  <c r="AP108" i="2"/>
  <c r="AP194" i="2" s="1"/>
  <c r="AR108" i="2"/>
  <c r="AR109" i="2" s="1"/>
  <c r="AR114" i="2" s="1"/>
  <c r="AS108" i="2"/>
  <c r="AS194" i="2" s="1"/>
  <c r="AT108" i="2"/>
  <c r="AT194" i="2" s="1"/>
  <c r="AU108" i="2"/>
  <c r="AW108" i="2"/>
  <c r="AW194" i="2" s="1"/>
  <c r="AX108" i="2"/>
  <c r="AX194" i="2" s="1"/>
  <c r="AY108" i="2"/>
  <c r="AY109" i="2" s="1"/>
  <c r="AY114" i="2" s="1"/>
  <c r="AZ108" i="2"/>
  <c r="BA108" i="2" s="1"/>
  <c r="BB108" i="2"/>
  <c r="BB194" i="2" s="1"/>
  <c r="BC108" i="2"/>
  <c r="BC194" i="2" s="1"/>
  <c r="BD108" i="2"/>
  <c r="BD109" i="2" s="1"/>
  <c r="BD114" i="2" s="1"/>
  <c r="BE108" i="2"/>
  <c r="BF108" i="2" s="1"/>
  <c r="BG108" i="2"/>
  <c r="BH108" i="2"/>
  <c r="BI108" i="2"/>
  <c r="BI194" i="2" s="1"/>
  <c r="BJ108" i="2"/>
  <c r="BJ109" i="2" s="1"/>
  <c r="BJ114" i="2" s="1"/>
  <c r="BL108" i="2"/>
  <c r="BL194" i="2" s="1"/>
  <c r="BM108" i="2"/>
  <c r="BM194" i="2" s="1"/>
  <c r="D109" i="2"/>
  <c r="D114" i="2" s="1"/>
  <c r="F109" i="2"/>
  <c r="F114" i="2" s="1"/>
  <c r="G109" i="2"/>
  <c r="H109" i="2" s="1"/>
  <c r="I109" i="2"/>
  <c r="I114" i="2" s="1"/>
  <c r="J109" i="2"/>
  <c r="J114" i="2" s="1"/>
  <c r="K109" i="2"/>
  <c r="K114" i="2" s="1"/>
  <c r="L109" i="2"/>
  <c r="M109" i="2" s="1"/>
  <c r="N109" i="2"/>
  <c r="N114" i="2" s="1"/>
  <c r="O109" i="2"/>
  <c r="O114" i="2" s="1"/>
  <c r="P109" i="2"/>
  <c r="P114" i="2" s="1"/>
  <c r="Q109" i="2"/>
  <c r="S109" i="2"/>
  <c r="S114" i="2" s="1"/>
  <c r="T109" i="2"/>
  <c r="T114" i="2" s="1"/>
  <c r="U109" i="2"/>
  <c r="U114" i="2" s="1"/>
  <c r="V109" i="2"/>
  <c r="W109" i="2" s="1"/>
  <c r="X109" i="2"/>
  <c r="X114" i="2" s="1"/>
  <c r="Y109" i="2"/>
  <c r="Y114" i="2" s="1"/>
  <c r="Z109" i="2"/>
  <c r="Z114" i="2" s="1"/>
  <c r="AC109" i="2"/>
  <c r="AC114" i="2" s="1"/>
  <c r="AD109" i="2"/>
  <c r="AD114" i="2" s="1"/>
  <c r="H111" i="2"/>
  <c r="M111" i="2"/>
  <c r="R111" i="2"/>
  <c r="W111" i="2"/>
  <c r="AA111" i="2"/>
  <c r="AF111" i="2"/>
  <c r="AL111" i="2"/>
  <c r="AQ111" i="2"/>
  <c r="AV111" i="2"/>
  <c r="BA111" i="2"/>
  <c r="BF111" i="2"/>
  <c r="BK111" i="2"/>
  <c r="BP111" i="2"/>
  <c r="H112" i="2"/>
  <c r="M112" i="2"/>
  <c r="R112" i="2"/>
  <c r="W112" i="2"/>
  <c r="AA112" i="2"/>
  <c r="AF112" i="2"/>
  <c r="AL112" i="2"/>
  <c r="AQ112" i="2"/>
  <c r="AV112" i="2"/>
  <c r="BA112" i="2"/>
  <c r="BF112" i="2"/>
  <c r="BK112" i="2"/>
  <c r="H113" i="2"/>
  <c r="M113" i="2"/>
  <c r="R113" i="2"/>
  <c r="W113" i="2"/>
  <c r="AA113" i="2"/>
  <c r="AF113" i="2"/>
  <c r="AL113" i="2"/>
  <c r="AQ113" i="2"/>
  <c r="AV113" i="2"/>
  <c r="BA113" i="2"/>
  <c r="BF113" i="2"/>
  <c r="BK113" i="2"/>
  <c r="D117" i="2"/>
  <c r="E117" i="2"/>
  <c r="H117" i="2"/>
  <c r="M117" i="2"/>
  <c r="P117" i="2"/>
  <c r="R117" i="2"/>
  <c r="W117" i="2"/>
  <c r="AB117" i="2"/>
  <c r="AB124" i="2" s="1"/>
  <c r="AG117" i="2"/>
  <c r="AF117" i="2" s="1"/>
  <c r="AH117" i="2"/>
  <c r="AH124" i="2" s="1"/>
  <c r="AI117" i="2"/>
  <c r="AL117" i="2"/>
  <c r="AN117" i="2"/>
  <c r="AO117" i="2"/>
  <c r="AP117" i="2"/>
  <c r="AQ117" i="2" s="1"/>
  <c r="AR117" i="2"/>
  <c r="AR124" i="2" s="1"/>
  <c r="AS117" i="2"/>
  <c r="AT117" i="2"/>
  <c r="AU117" i="2"/>
  <c r="AV117" i="2" s="1"/>
  <c r="AW117" i="2"/>
  <c r="AX117" i="2"/>
  <c r="AY117" i="2"/>
  <c r="AZ117" i="2"/>
  <c r="BA117" i="2" s="1"/>
  <c r="BB117" i="2"/>
  <c r="BC117" i="2"/>
  <c r="BD117" i="2"/>
  <c r="BE117" i="2"/>
  <c r="BF117" i="2" s="1"/>
  <c r="BH117" i="2"/>
  <c r="BI117" i="2"/>
  <c r="BI124" i="2" s="1"/>
  <c r="BJ117" i="2"/>
  <c r="BK117" i="2" s="1"/>
  <c r="BL117" i="2"/>
  <c r="H118" i="2"/>
  <c r="M118" i="2"/>
  <c r="R118" i="2"/>
  <c r="W118" i="2"/>
  <c r="AA118" i="2"/>
  <c r="AF118" i="2"/>
  <c r="AL118" i="2"/>
  <c r="AN118" i="2"/>
  <c r="AQ118" i="2"/>
  <c r="AV118" i="2"/>
  <c r="AZ118" i="2"/>
  <c r="BA118" i="2" s="1"/>
  <c r="BF118" i="2"/>
  <c r="BK118" i="2"/>
  <c r="BM118" i="2"/>
  <c r="BO118" i="2" s="1"/>
  <c r="BR118" i="2" s="1"/>
  <c r="H119" i="2"/>
  <c r="M119" i="2"/>
  <c r="R119" i="2"/>
  <c r="W119" i="2"/>
  <c r="AA119" i="2"/>
  <c r="AF119" i="2"/>
  <c r="AL119" i="2"/>
  <c r="AQ119" i="2"/>
  <c r="AV119" i="2"/>
  <c r="BA119" i="2"/>
  <c r="BF119" i="2"/>
  <c r="BK119" i="2"/>
  <c r="H120" i="2"/>
  <c r="M120" i="2"/>
  <c r="P120" i="2"/>
  <c r="Q120" i="2"/>
  <c r="R120" i="2" s="1"/>
  <c r="S120" i="2"/>
  <c r="S124" i="2" s="1"/>
  <c r="T120" i="2"/>
  <c r="T124" i="2" s="1"/>
  <c r="U120" i="2"/>
  <c r="U124" i="2" s="1"/>
  <c r="V120" i="2"/>
  <c r="V124" i="2" s="1"/>
  <c r="X120" i="2"/>
  <c r="X124" i="2" s="1"/>
  <c r="Y120" i="2"/>
  <c r="Y124" i="2" s="1"/>
  <c r="Z120" i="2"/>
  <c r="Z124" i="2" s="1"/>
  <c r="AA120" i="2"/>
  <c r="AC120" i="2"/>
  <c r="AC124" i="2" s="1"/>
  <c r="AD120" i="2"/>
  <c r="AD124" i="2" s="1"/>
  <c r="AF120" i="2"/>
  <c r="AK120" i="2"/>
  <c r="AL120" i="2" s="1"/>
  <c r="AQ120" i="2"/>
  <c r="AV120" i="2"/>
  <c r="BA120" i="2"/>
  <c r="BF120" i="2"/>
  <c r="BK120" i="2"/>
  <c r="H121" i="2"/>
  <c r="M121" i="2"/>
  <c r="R121" i="2"/>
  <c r="W121" i="2"/>
  <c r="AA121" i="2"/>
  <c r="AF121" i="2"/>
  <c r="AL121" i="2"/>
  <c r="AO121" i="2"/>
  <c r="AP121" i="2"/>
  <c r="AQ121" i="2" s="1"/>
  <c r="AS121" i="2"/>
  <c r="AT121" i="2"/>
  <c r="AU121" i="2"/>
  <c r="AV121" i="2" s="1"/>
  <c r="AW121" i="2"/>
  <c r="AX121" i="2"/>
  <c r="AY121" i="2"/>
  <c r="AZ121" i="2"/>
  <c r="BA121" i="2" s="1"/>
  <c r="BB121" i="2"/>
  <c r="BC121" i="2"/>
  <c r="BD121" i="2"/>
  <c r="BE121" i="2"/>
  <c r="BG121" i="2"/>
  <c r="BG124" i="2" s="1"/>
  <c r="BH121" i="2"/>
  <c r="BJ121" i="2"/>
  <c r="BL121" i="2"/>
  <c r="D122" i="2"/>
  <c r="E122" i="2"/>
  <c r="F122" i="2"/>
  <c r="F124" i="2" s="1"/>
  <c r="G122" i="2"/>
  <c r="H122" i="2" s="1"/>
  <c r="I122" i="2"/>
  <c r="I124" i="2" s="1"/>
  <c r="I126" i="2" s="1"/>
  <c r="K122" i="2"/>
  <c r="K124" i="2" s="1"/>
  <c r="L122" i="2"/>
  <c r="M122" i="2" s="1"/>
  <c r="N122" i="2"/>
  <c r="N124" i="2" s="1"/>
  <c r="O122" i="2"/>
  <c r="O124" i="2" s="1"/>
  <c r="P122" i="2"/>
  <c r="Q122" i="2"/>
  <c r="W122" i="2"/>
  <c r="AA122" i="2"/>
  <c r="AF122" i="2"/>
  <c r="AL122" i="2"/>
  <c r="AQ122" i="2"/>
  <c r="AV122" i="2"/>
  <c r="BA122" i="2"/>
  <c r="BF122" i="2"/>
  <c r="J124" i="2"/>
  <c r="AE124" i="2"/>
  <c r="AJ124" i="2"/>
  <c r="AM124" i="2"/>
  <c r="D130" i="2"/>
  <c r="H130" i="2"/>
  <c r="M130" i="2"/>
  <c r="R130" i="2"/>
  <c r="W130" i="2"/>
  <c r="AB130" i="2"/>
  <c r="AG130" i="2"/>
  <c r="AK130" i="2"/>
  <c r="AL130" i="2"/>
  <c r="AP130" i="2"/>
  <c r="AQ130" i="2"/>
  <c r="AR130" i="2"/>
  <c r="AS130" i="2"/>
  <c r="AT130" i="2"/>
  <c r="AU130" i="2"/>
  <c r="AV130" i="2"/>
  <c r="AW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CQ130" i="2"/>
  <c r="CR130" i="2"/>
  <c r="CS130" i="2"/>
  <c r="CT130" i="2"/>
  <c r="CU130" i="2"/>
  <c r="CV130" i="2"/>
  <c r="CW130" i="2"/>
  <c r="CX130" i="2"/>
  <c r="CY130" i="2"/>
  <c r="D132" i="2"/>
  <c r="E132" i="2"/>
  <c r="F132" i="2"/>
  <c r="G132" i="2"/>
  <c r="H132" i="2"/>
  <c r="I132" i="2"/>
  <c r="J132" i="2"/>
  <c r="K132" i="2"/>
  <c r="L132" i="2"/>
  <c r="M132" i="2"/>
  <c r="D134" i="2"/>
  <c r="E134" i="2" s="1"/>
  <c r="H134" i="2"/>
  <c r="H41" i="2" s="1"/>
  <c r="I134" i="2"/>
  <c r="J134" i="2" s="1"/>
  <c r="M134" i="2"/>
  <c r="N134" i="2"/>
  <c r="N41" i="2" s="1"/>
  <c r="R134" i="2"/>
  <c r="R41" i="2" s="1"/>
  <c r="S134" i="2"/>
  <c r="W134" i="2"/>
  <c r="W41" i="2" s="1"/>
  <c r="X134" i="2"/>
  <c r="Y134" i="2" s="1"/>
  <c r="AB134" i="2"/>
  <c r="AC134" i="2"/>
  <c r="AC190" i="2" s="1"/>
  <c r="AG134" i="2"/>
  <c r="AG190" i="2" s="1"/>
  <c r="AH134" i="2"/>
  <c r="AH41" i="2" s="1"/>
  <c r="AL134" i="2"/>
  <c r="AM134" i="2"/>
  <c r="AM41" i="2" s="1"/>
  <c r="AQ134" i="2"/>
  <c r="AR134" i="2"/>
  <c r="AR41" i="2" s="1"/>
  <c r="AV134" i="2"/>
  <c r="AW134" i="2"/>
  <c r="AX134" i="2" s="1"/>
  <c r="BB134" i="2"/>
  <c r="BH134" i="2"/>
  <c r="BH191" i="2" s="1"/>
  <c r="BM134" i="2"/>
  <c r="E135" i="2"/>
  <c r="F135" i="2" s="1"/>
  <c r="G135" i="2" s="1"/>
  <c r="J135" i="2"/>
  <c r="K135" i="2" s="1"/>
  <c r="L135" i="2" s="1"/>
  <c r="O135" i="2"/>
  <c r="P135" i="2" s="1"/>
  <c r="Q135" i="2" s="1"/>
  <c r="T135" i="2"/>
  <c r="Y135" i="2"/>
  <c r="Z135" i="2" s="1"/>
  <c r="AA135" i="2" s="1"/>
  <c r="AD135" i="2"/>
  <c r="AE135" i="2" s="1"/>
  <c r="AF135" i="2" s="1"/>
  <c r="AI135" i="2"/>
  <c r="AJ135" i="2" s="1"/>
  <c r="AN135" i="2"/>
  <c r="AS135" i="2"/>
  <c r="AT135" i="2" s="1"/>
  <c r="AU135" i="2" s="1"/>
  <c r="AX135" i="2"/>
  <c r="AY135" i="2" s="1"/>
  <c r="AZ135" i="2" s="1"/>
  <c r="BC135" i="2"/>
  <c r="BD135" i="2" s="1"/>
  <c r="BE135" i="2" s="1"/>
  <c r="BH135" i="2"/>
  <c r="BM135" i="2"/>
  <c r="CA135" i="2"/>
  <c r="E136" i="2"/>
  <c r="F136" i="2" s="1"/>
  <c r="G136" i="2" s="1"/>
  <c r="J136" i="2"/>
  <c r="K136" i="2" s="1"/>
  <c r="O136" i="2"/>
  <c r="T136" i="2"/>
  <c r="U136" i="2" s="1"/>
  <c r="V136" i="2" s="1"/>
  <c r="Y136" i="2"/>
  <c r="Z136" i="2" s="1"/>
  <c r="AA136" i="2" s="1"/>
  <c r="AD136" i="2"/>
  <c r="AE136" i="2" s="1"/>
  <c r="AF136" i="2" s="1"/>
  <c r="AI136" i="2"/>
  <c r="AJ136" i="2" s="1"/>
  <c r="AN136" i="2"/>
  <c r="AS136" i="2"/>
  <c r="AT136" i="2" s="1"/>
  <c r="AX136" i="2"/>
  <c r="BC136" i="2"/>
  <c r="BD136" i="2" s="1"/>
  <c r="BH136" i="2"/>
  <c r="BI136" i="2" s="1"/>
  <c r="E137" i="2"/>
  <c r="J137" i="2"/>
  <c r="K137" i="2" s="1"/>
  <c r="L137" i="2" s="1"/>
  <c r="O137" i="2"/>
  <c r="P137" i="2" s="1"/>
  <c r="T137" i="2"/>
  <c r="U137" i="2" s="1"/>
  <c r="Y137" i="2"/>
  <c r="Z137" i="2" s="1"/>
  <c r="AD137" i="2"/>
  <c r="AE137" i="2" s="1"/>
  <c r="AF137" i="2" s="1"/>
  <c r="AI137" i="2"/>
  <c r="AJ137" i="2" s="1"/>
  <c r="AK137" i="2" s="1"/>
  <c r="AN137" i="2"/>
  <c r="AO137" i="2" s="1"/>
  <c r="AP137" i="2" s="1"/>
  <c r="AS137" i="2"/>
  <c r="AT137" i="2" s="1"/>
  <c r="AX137" i="2"/>
  <c r="AY137" i="2" s="1"/>
  <c r="AZ137" i="2" s="1"/>
  <c r="BC137" i="2"/>
  <c r="BD137" i="2" s="1"/>
  <c r="BH137" i="2"/>
  <c r="CE138" i="2"/>
  <c r="CO138" i="2"/>
  <c r="CT138" i="2"/>
  <c r="CY138" i="2"/>
  <c r="E140" i="2"/>
  <c r="J140" i="2"/>
  <c r="K140" i="2" s="1"/>
  <c r="O140" i="2"/>
  <c r="T140" i="2"/>
  <c r="U140" i="2" s="1"/>
  <c r="V140" i="2" s="1"/>
  <c r="Y140" i="2"/>
  <c r="Z140" i="2" s="1"/>
  <c r="AD140" i="2"/>
  <c r="AE140" i="2" s="1"/>
  <c r="AF140" i="2" s="1"/>
  <c r="AI140" i="2"/>
  <c r="AJ140" i="2" s="1"/>
  <c r="AN140" i="2"/>
  <c r="AO140" i="2" s="1"/>
  <c r="AS140" i="2"/>
  <c r="AT140" i="2" s="1"/>
  <c r="AX140" i="2"/>
  <c r="AY140" i="2" s="1"/>
  <c r="AZ140" i="2" s="1"/>
  <c r="BC140" i="2"/>
  <c r="BD140" i="2" s="1"/>
  <c r="BE140" i="2" s="1"/>
  <c r="BH140" i="2"/>
  <c r="BM140" i="2"/>
  <c r="E141" i="2"/>
  <c r="J141" i="2"/>
  <c r="K141" i="2" s="1"/>
  <c r="L141" i="2" s="1"/>
  <c r="O141" i="2"/>
  <c r="P141" i="2" s="1"/>
  <c r="T141" i="2"/>
  <c r="U141" i="2" s="1"/>
  <c r="V141" i="2" s="1"/>
  <c r="Y141" i="2"/>
  <c r="Z141" i="2" s="1"/>
  <c r="AD141" i="2"/>
  <c r="AI141" i="2"/>
  <c r="AJ141" i="2" s="1"/>
  <c r="AN141" i="2"/>
  <c r="AO141" i="2" s="1"/>
  <c r="AS141" i="2"/>
  <c r="AT141" i="2" s="1"/>
  <c r="AX141" i="2"/>
  <c r="AY141" i="2" s="1"/>
  <c r="BC141" i="2"/>
  <c r="BD141" i="2" s="1"/>
  <c r="BH141" i="2"/>
  <c r="BI141" i="2" s="1"/>
  <c r="BJ141" i="2" s="1"/>
  <c r="BM141" i="2"/>
  <c r="E142" i="2"/>
  <c r="F142" i="2" s="1"/>
  <c r="J142" i="2"/>
  <c r="K142" i="2" s="1"/>
  <c r="O142" i="2"/>
  <c r="P142" i="2" s="1"/>
  <c r="T142" i="2"/>
  <c r="U142" i="2" s="1"/>
  <c r="V142" i="2" s="1"/>
  <c r="Y142" i="2"/>
  <c r="Z142" i="2" s="1"/>
  <c r="AD142" i="2"/>
  <c r="AE142" i="2" s="1"/>
  <c r="AF142" i="2" s="1"/>
  <c r="AI142" i="2"/>
  <c r="AJ142" i="2" s="1"/>
  <c r="AN142" i="2"/>
  <c r="AO142" i="2" s="1"/>
  <c r="AP142" i="2" s="1"/>
  <c r="AS142" i="2"/>
  <c r="AT142" i="2" s="1"/>
  <c r="AU142" i="2" s="1"/>
  <c r="AX142" i="2"/>
  <c r="BC142" i="2"/>
  <c r="BD142" i="2" s="1"/>
  <c r="BE142" i="2" s="1"/>
  <c r="BH142" i="2"/>
  <c r="BI142" i="2" s="1"/>
  <c r="BJ142" i="2" s="1"/>
  <c r="BM142" i="2"/>
  <c r="E143" i="2"/>
  <c r="F143" i="2" s="1"/>
  <c r="G143" i="2" s="1"/>
  <c r="J143" i="2"/>
  <c r="K143" i="2" s="1"/>
  <c r="L143" i="2" s="1"/>
  <c r="O143" i="2"/>
  <c r="P143" i="2" s="1"/>
  <c r="Q143" i="2" s="1"/>
  <c r="T143" i="2"/>
  <c r="U143" i="2" s="1"/>
  <c r="Y143" i="2"/>
  <c r="Z143" i="2" s="1"/>
  <c r="AD143" i="2"/>
  <c r="AE143" i="2" s="1"/>
  <c r="AF143" i="2" s="1"/>
  <c r="AI143" i="2"/>
  <c r="AJ143" i="2" s="1"/>
  <c r="AK143" i="2" s="1"/>
  <c r="AN143" i="2"/>
  <c r="AO143" i="2" s="1"/>
  <c r="AS143" i="2"/>
  <c r="AT143" i="2" s="1"/>
  <c r="AU143" i="2" s="1"/>
  <c r="AX143" i="2"/>
  <c r="AY143" i="2" s="1"/>
  <c r="AZ143" i="2" s="1"/>
  <c r="BC143" i="2"/>
  <c r="BD143" i="2" s="1"/>
  <c r="BE143" i="2" s="1"/>
  <c r="BH143" i="2"/>
  <c r="BI143" i="2" s="1"/>
  <c r="BJ143" i="2" s="1"/>
  <c r="BM143" i="2"/>
  <c r="D144" i="2"/>
  <c r="E144" i="2" s="1"/>
  <c r="F144" i="2" s="1"/>
  <c r="H144" i="2"/>
  <c r="I144" i="2"/>
  <c r="J144" i="2" s="1"/>
  <c r="K144" i="2" s="1"/>
  <c r="M144" i="2"/>
  <c r="N144" i="2"/>
  <c r="O144" i="2" s="1"/>
  <c r="P144" i="2" s="1"/>
  <c r="R144" i="2"/>
  <c r="S144" i="2"/>
  <c r="T144" i="2" s="1"/>
  <c r="W144" i="2"/>
  <c r="X144" i="2"/>
  <c r="Y144" i="2" s="1"/>
  <c r="Z144" i="2" s="1"/>
  <c r="AB144" i="2"/>
  <c r="AC144" i="2"/>
  <c r="AD144" i="2" s="1"/>
  <c r="AE144" i="2" s="1"/>
  <c r="AG144" i="2"/>
  <c r="AG291" i="2" s="1"/>
  <c r="AH144" i="2"/>
  <c r="AH291" i="2" s="1"/>
  <c r="AL144" i="2"/>
  <c r="AL291" i="2" s="1"/>
  <c r="AM144" i="2"/>
  <c r="AM291" i="2" s="1"/>
  <c r="AQ144" i="2"/>
  <c r="AQ291" i="2" s="1"/>
  <c r="AR144" i="2"/>
  <c r="AS144" i="2" s="1"/>
  <c r="AT144" i="2" s="1"/>
  <c r="AV144" i="2"/>
  <c r="AV291" i="2" s="1"/>
  <c r="AW144" i="2"/>
  <c r="BA144" i="2"/>
  <c r="BA291" i="2" s="1"/>
  <c r="BB144" i="2"/>
  <c r="BC144" i="2" s="1"/>
  <c r="BD144" i="2" s="1"/>
  <c r="BF144" i="2"/>
  <c r="BG144" i="2"/>
  <c r="BK144" i="2"/>
  <c r="BK291" i="2" s="1"/>
  <c r="BL144" i="2"/>
  <c r="BL291" i="2" s="1"/>
  <c r="E145" i="2"/>
  <c r="J145" i="2"/>
  <c r="J170" i="2" s="1"/>
  <c r="O145" i="2"/>
  <c r="O170" i="2" s="1"/>
  <c r="T145" i="2"/>
  <c r="T170" i="2" s="1"/>
  <c r="Y145" i="2"/>
  <c r="Z145" i="2" s="1"/>
  <c r="AA145" i="2" s="1"/>
  <c r="AA170" i="2" s="1"/>
  <c r="AD145" i="2"/>
  <c r="AE145" i="2" s="1"/>
  <c r="AE170" i="2" s="1"/>
  <c r="AI145" i="2"/>
  <c r="AI170" i="2" s="1"/>
  <c r="AN145" i="2"/>
  <c r="AN170" i="2" s="1"/>
  <c r="AS145" i="2"/>
  <c r="AT145" i="2" s="1"/>
  <c r="AX145" i="2"/>
  <c r="BC145" i="2"/>
  <c r="BC170" i="2" s="1"/>
  <c r="BH145" i="2"/>
  <c r="BM145" i="2"/>
  <c r="BM170" i="2" s="1"/>
  <c r="E148" i="2"/>
  <c r="F148" i="2" s="1"/>
  <c r="J148" i="2"/>
  <c r="K148" i="2" s="1"/>
  <c r="O148" i="2"/>
  <c r="P148" i="2" s="1"/>
  <c r="T148" i="2"/>
  <c r="U148" i="2" s="1"/>
  <c r="V148" i="2" s="1"/>
  <c r="Y148" i="2"/>
  <c r="Z148" i="2" s="1"/>
  <c r="AD148" i="2"/>
  <c r="AE148" i="2" s="1"/>
  <c r="AF148" i="2" s="1"/>
  <c r="AK148" i="2"/>
  <c r="AT148" i="2"/>
  <c r="AU148" i="2" s="1"/>
  <c r="AX148" i="2"/>
  <c r="AY148" i="2" s="1"/>
  <c r="AZ148" i="2" s="1"/>
  <c r="BC148" i="2"/>
  <c r="BD148" i="2" s="1"/>
  <c r="BI148" i="2"/>
  <c r="BM148" i="2"/>
  <c r="CE148" i="2"/>
  <c r="CJ148" i="2"/>
  <c r="CO148" i="2"/>
  <c r="CT148" i="2"/>
  <c r="CY148" i="2"/>
  <c r="E149" i="2"/>
  <c r="J149" i="2"/>
  <c r="O149" i="2"/>
  <c r="P149" i="2" s="1"/>
  <c r="T149" i="2"/>
  <c r="U149" i="2" s="1"/>
  <c r="U188" i="2" s="1"/>
  <c r="Y149" i="2"/>
  <c r="Z149" i="2" s="1"/>
  <c r="AD149" i="2"/>
  <c r="AD188" i="2" s="1"/>
  <c r="AI149" i="2"/>
  <c r="AN149" i="2"/>
  <c r="AO149" i="2" s="1"/>
  <c r="AO189" i="2" s="1"/>
  <c r="AS149" i="2"/>
  <c r="AT149" i="2" s="1"/>
  <c r="AX149" i="2"/>
  <c r="AX189" i="2" s="1"/>
  <c r="BC149" i="2"/>
  <c r="BH149" i="2"/>
  <c r="BI149" i="2" s="1"/>
  <c r="BI188" i="2" s="1"/>
  <c r="BM149" i="2"/>
  <c r="BM292" i="2" s="1"/>
  <c r="E150" i="2"/>
  <c r="F150" i="2" s="1"/>
  <c r="H150" i="2"/>
  <c r="J150" i="2"/>
  <c r="K150" i="2" s="1"/>
  <c r="M150" i="2"/>
  <c r="M265" i="2" s="1"/>
  <c r="N150" i="2"/>
  <c r="O150" i="2" s="1"/>
  <c r="R150" i="2"/>
  <c r="R265" i="2" s="1"/>
  <c r="S150" i="2"/>
  <c r="S265" i="2" s="1"/>
  <c r="W150" i="2"/>
  <c r="W265" i="2" s="1"/>
  <c r="X150" i="2"/>
  <c r="X265" i="2" s="1"/>
  <c r="AB150" i="2"/>
  <c r="AB265" i="2" s="1"/>
  <c r="AD150" i="2"/>
  <c r="AG150" i="2"/>
  <c r="AG265" i="2" s="1"/>
  <c r="AH150" i="2"/>
  <c r="AH265" i="2" s="1"/>
  <c r="AL150" i="2"/>
  <c r="AM150" i="2"/>
  <c r="AN150" i="2" s="1"/>
  <c r="AN265" i="2" s="1"/>
  <c r="AQ150" i="2"/>
  <c r="AR150" i="2"/>
  <c r="AS150" i="2" s="1"/>
  <c r="AV150" i="2"/>
  <c r="AV265" i="2" s="1"/>
  <c r="AX150" i="2"/>
  <c r="AY150" i="2" s="1"/>
  <c r="BA150" i="2"/>
  <c r="BC150" i="2"/>
  <c r="BD150" i="2" s="1"/>
  <c r="BF150" i="2"/>
  <c r="BF152" i="2" s="1"/>
  <c r="CE150" i="2"/>
  <c r="CJ150" i="2"/>
  <c r="CO150" i="2"/>
  <c r="CT150" i="2"/>
  <c r="CY150" i="2"/>
  <c r="E151" i="2"/>
  <c r="F151" i="2" s="1"/>
  <c r="H151" i="2"/>
  <c r="J151" i="2"/>
  <c r="K151" i="2" s="1"/>
  <c r="M151" i="2"/>
  <c r="N151" i="2"/>
  <c r="O151" i="2" s="1"/>
  <c r="R151" i="2"/>
  <c r="S151" i="2"/>
  <c r="W151" i="2"/>
  <c r="X151" i="2"/>
  <c r="AB151" i="2"/>
  <c r="AD151" i="2"/>
  <c r="AE151" i="2" s="1"/>
  <c r="AG151" i="2"/>
  <c r="AH151" i="2"/>
  <c r="AI151" i="2" s="1"/>
  <c r="AJ151" i="2" s="1"/>
  <c r="AL151" i="2"/>
  <c r="AM151" i="2"/>
  <c r="AQ151" i="2"/>
  <c r="AR151" i="2"/>
  <c r="AV151" i="2"/>
  <c r="AW151" i="2"/>
  <c r="AW152" i="2" s="1"/>
  <c r="BA151" i="2"/>
  <c r="BC151" i="2"/>
  <c r="BD151" i="2" s="1"/>
  <c r="BE151" i="2" s="1"/>
  <c r="BH151" i="2"/>
  <c r="BI151" i="2" s="1"/>
  <c r="BM151" i="2"/>
  <c r="CE151" i="2"/>
  <c r="CJ151" i="2"/>
  <c r="CO151" i="2"/>
  <c r="CT151" i="2"/>
  <c r="CY151" i="2"/>
  <c r="D152" i="2"/>
  <c r="I152" i="2"/>
  <c r="AC152" i="2"/>
  <c r="BB152" i="2"/>
  <c r="BG152" i="2"/>
  <c r="BL152" i="2"/>
  <c r="D155" i="2"/>
  <c r="H155" i="2"/>
  <c r="J155" i="2"/>
  <c r="K155" i="2" s="1"/>
  <c r="M155" i="2"/>
  <c r="O155" i="2"/>
  <c r="P155" i="2" s="1"/>
  <c r="R155" i="2"/>
  <c r="S155" i="2"/>
  <c r="W155" i="2"/>
  <c r="X155" i="2"/>
  <c r="Y155" i="2" s="1"/>
  <c r="Z155" i="2" s="1"/>
  <c r="AB155" i="2"/>
  <c r="AD155" i="2"/>
  <c r="AE155" i="2" s="1"/>
  <c r="AI155" i="2"/>
  <c r="AJ155" i="2" s="1"/>
  <c r="AL155" i="2"/>
  <c r="AM155" i="2"/>
  <c r="AN155" i="2" s="1"/>
  <c r="AQ155" i="2"/>
  <c r="AS155" i="2"/>
  <c r="AT155" i="2" s="1"/>
  <c r="AV155" i="2"/>
  <c r="AW155" i="2"/>
  <c r="AX155" i="2" s="1"/>
  <c r="BA155" i="2"/>
  <c r="BB155" i="2"/>
  <c r="BC155" i="2" s="1"/>
  <c r="BF155" i="2"/>
  <c r="BH155" i="2"/>
  <c r="BI155" i="2" s="1"/>
  <c r="BK155" i="2"/>
  <c r="BM155" i="2"/>
  <c r="E156" i="2"/>
  <c r="J156" i="2"/>
  <c r="K156" i="2" s="1"/>
  <c r="O156" i="2"/>
  <c r="T156" i="2"/>
  <c r="U156" i="2" s="1"/>
  <c r="Y156" i="2"/>
  <c r="Z156" i="2" s="1"/>
  <c r="AA156" i="2" s="1"/>
  <c r="AD156" i="2"/>
  <c r="AE156" i="2" s="1"/>
  <c r="AF156" i="2" s="1"/>
  <c r="AI156" i="2"/>
  <c r="AJ156" i="2" s="1"/>
  <c r="AK156" i="2" s="1"/>
  <c r="AN156" i="2"/>
  <c r="AS156" i="2"/>
  <c r="AT156" i="2" s="1"/>
  <c r="AU156" i="2" s="1"/>
  <c r="AX156" i="2"/>
  <c r="AY156" i="2" s="1"/>
  <c r="BA156" i="2"/>
  <c r="BC156" i="2"/>
  <c r="BD156" i="2" s="1"/>
  <c r="BE156" i="2" s="1"/>
  <c r="BH156" i="2"/>
  <c r="BI156" i="2" s="1"/>
  <c r="BJ156" i="2" s="1"/>
  <c r="BM156" i="2"/>
  <c r="E157" i="2"/>
  <c r="F157" i="2" s="1"/>
  <c r="G157" i="2" s="1"/>
  <c r="J157" i="2"/>
  <c r="O157" i="2"/>
  <c r="P157" i="2" s="1"/>
  <c r="P202" i="2" s="1"/>
  <c r="P80" i="2" s="1"/>
  <c r="T157" i="2"/>
  <c r="Y157" i="2"/>
  <c r="Z157" i="2" s="1"/>
  <c r="AD157" i="2"/>
  <c r="AE157" i="2" s="1"/>
  <c r="AF157" i="2" s="1"/>
  <c r="AF202" i="2" s="1"/>
  <c r="AF80" i="2" s="1"/>
  <c r="AI157" i="2"/>
  <c r="AI202" i="2" s="1"/>
  <c r="AI80" i="2" s="1"/>
  <c r="AN157" i="2"/>
  <c r="AO157" i="2" s="1"/>
  <c r="AO175" i="2" s="1"/>
  <c r="AS157" i="2"/>
  <c r="AT157" i="2" s="1"/>
  <c r="AT175" i="2" s="1"/>
  <c r="AX157" i="2"/>
  <c r="AY157" i="2" s="1"/>
  <c r="AY175" i="2" s="1"/>
  <c r="BA157" i="2"/>
  <c r="BA175" i="2" s="1"/>
  <c r="BC157" i="2"/>
  <c r="BE157" i="2" s="1"/>
  <c r="BJ157" i="2"/>
  <c r="BM157" i="2"/>
  <c r="D158" i="2"/>
  <c r="H158" i="2"/>
  <c r="I158" i="2"/>
  <c r="M158" i="2"/>
  <c r="N158" i="2"/>
  <c r="O158" i="2" s="1"/>
  <c r="R158" i="2"/>
  <c r="S158" i="2"/>
  <c r="T158" i="2" s="1"/>
  <c r="W158" i="2"/>
  <c r="X158" i="2"/>
  <c r="AB158" i="2"/>
  <c r="AC158" i="2"/>
  <c r="AD158" i="2" s="1"/>
  <c r="AG158" i="2"/>
  <c r="AH158" i="2"/>
  <c r="AI158" i="2" s="1"/>
  <c r="AL158" i="2"/>
  <c r="AM158" i="2"/>
  <c r="AN158" i="2" s="1"/>
  <c r="AQ158" i="2"/>
  <c r="AR158" i="2"/>
  <c r="AS158" i="2" s="1"/>
  <c r="AT158" i="2" s="1"/>
  <c r="AV158" i="2"/>
  <c r="AW158" i="2"/>
  <c r="AX158" i="2" s="1"/>
  <c r="AY158" i="2" s="1"/>
  <c r="BA158" i="2"/>
  <c r="BB158" i="2"/>
  <c r="BC158" i="2" s="1"/>
  <c r="BD158" i="2" s="1"/>
  <c r="BF158" i="2"/>
  <c r="BG158" i="2"/>
  <c r="BH158" i="2" s="1"/>
  <c r="BK158" i="2"/>
  <c r="BL158" i="2"/>
  <c r="CE158" i="2"/>
  <c r="CJ158" i="2"/>
  <c r="CO158" i="2"/>
  <c r="CT158" i="2"/>
  <c r="CY158" i="2"/>
  <c r="E159" i="2"/>
  <c r="F159" i="2" s="1"/>
  <c r="G159" i="2" s="1"/>
  <c r="J159" i="2"/>
  <c r="O159" i="2"/>
  <c r="T159" i="2"/>
  <c r="Y159" i="2"/>
  <c r="Z159" i="2" s="1"/>
  <c r="AA159" i="2" s="1"/>
  <c r="AD159" i="2"/>
  <c r="AE159" i="2" s="1"/>
  <c r="AI159" i="2"/>
  <c r="AJ159" i="2" s="1"/>
  <c r="AU159" i="2"/>
  <c r="AZ159" i="2"/>
  <c r="CE159" i="2"/>
  <c r="CJ159" i="2"/>
  <c r="CO159" i="2"/>
  <c r="CT159" i="2"/>
  <c r="CY159" i="2"/>
  <c r="E160" i="2"/>
  <c r="F160" i="2" s="1"/>
  <c r="J160" i="2"/>
  <c r="K160" i="2" s="1"/>
  <c r="O160" i="2"/>
  <c r="T160" i="2"/>
  <c r="Y160" i="2"/>
  <c r="Z160" i="2" s="1"/>
  <c r="AD160" i="2"/>
  <c r="AE160" i="2" s="1"/>
  <c r="AE196" i="2" s="1"/>
  <c r="AI160" i="2"/>
  <c r="AU160" i="2"/>
  <c r="AU196" i="2" s="1"/>
  <c r="BM160" i="2"/>
  <c r="BM175" i="2" s="1"/>
  <c r="AG161" i="2"/>
  <c r="AR161" i="2"/>
  <c r="E163" i="2"/>
  <c r="F163" i="2" s="1"/>
  <c r="J163" i="2"/>
  <c r="K163" i="2" s="1"/>
  <c r="L163" i="2" s="1"/>
  <c r="O163" i="2"/>
  <c r="Q163" i="2" s="1"/>
  <c r="T163" i="2"/>
  <c r="V163" i="2" s="1"/>
  <c r="Y163" i="2"/>
  <c r="AA163" i="2" s="1"/>
  <c r="AD163" i="2"/>
  <c r="AE163" i="2" s="1"/>
  <c r="AI163" i="2"/>
  <c r="AJ163" i="2" s="1"/>
  <c r="AK163" i="2" s="1"/>
  <c r="AQ163" i="2"/>
  <c r="BA163" i="2"/>
  <c r="BF163" i="2"/>
  <c r="BK163" i="2"/>
  <c r="BP163" i="2"/>
  <c r="BP165" i="2" s="1"/>
  <c r="BU163" i="2"/>
  <c r="CE163" i="2"/>
  <c r="CJ163" i="2"/>
  <c r="CO163" i="2"/>
  <c r="CT163" i="2"/>
  <c r="CY163" i="2"/>
  <c r="E164" i="2"/>
  <c r="J164" i="2"/>
  <c r="K164" i="2" s="1"/>
  <c r="L164" i="2" s="1"/>
  <c r="O164" i="2"/>
  <c r="T164" i="2"/>
  <c r="U164" i="2" s="1"/>
  <c r="V164" i="2" s="1"/>
  <c r="Y164" i="2"/>
  <c r="AD164" i="2"/>
  <c r="AE164" i="2" s="1"/>
  <c r="AF164" i="2" s="1"/>
  <c r="AI164" i="2"/>
  <c r="AJ164" i="2" s="1"/>
  <c r="AN164" i="2"/>
  <c r="AO164" i="2" s="1"/>
  <c r="AP164" i="2" s="1"/>
  <c r="AS164" i="2"/>
  <c r="AT164" i="2" s="1"/>
  <c r="AU164" i="2" s="1"/>
  <c r="AX164" i="2"/>
  <c r="AY164" i="2" s="1"/>
  <c r="AZ164" i="2" s="1"/>
  <c r="BC164" i="2"/>
  <c r="BD164" i="2" s="1"/>
  <c r="BH164" i="2"/>
  <c r="BM164" i="2"/>
  <c r="CE164" i="2"/>
  <c r="CJ164" i="2"/>
  <c r="CO164" i="2"/>
  <c r="CT164" i="2"/>
  <c r="CY164" i="2"/>
  <c r="H170" i="2"/>
  <c r="H171" i="2" s="1"/>
  <c r="I170" i="2"/>
  <c r="I171" i="2" s="1"/>
  <c r="I172" i="2" s="1"/>
  <c r="M170" i="2"/>
  <c r="M171" i="2" s="1"/>
  <c r="N170" i="2"/>
  <c r="N171" i="2" s="1"/>
  <c r="N173" i="2" s="1"/>
  <c r="R170" i="2"/>
  <c r="R171" i="2" s="1"/>
  <c r="R173" i="2" s="1"/>
  <c r="S170" i="2"/>
  <c r="S171" i="2" s="1"/>
  <c r="S173" i="2" s="1"/>
  <c r="W170" i="2"/>
  <c r="W171" i="2" s="1"/>
  <c r="W173" i="2" s="1"/>
  <c r="X170" i="2"/>
  <c r="X171" i="2" s="1"/>
  <c r="X173" i="2" s="1"/>
  <c r="AB170" i="2"/>
  <c r="AB171" i="2" s="1"/>
  <c r="AC170" i="2"/>
  <c r="AC171" i="2" s="1"/>
  <c r="AC173" i="2" s="1"/>
  <c r="AG170" i="2"/>
  <c r="AG171" i="2" s="1"/>
  <c r="AG173" i="2" s="1"/>
  <c r="AH170" i="2"/>
  <c r="AH171" i="2" s="1"/>
  <c r="AL170" i="2"/>
  <c r="AL171" i="2" s="1"/>
  <c r="AM170" i="2"/>
  <c r="AM171" i="2" s="1"/>
  <c r="AM173" i="2" s="1"/>
  <c r="AQ170" i="2"/>
  <c r="AQ171" i="2" s="1"/>
  <c r="AQ173" i="2" s="1"/>
  <c r="AR170" i="2"/>
  <c r="AR171" i="2" s="1"/>
  <c r="AR173" i="2" s="1"/>
  <c r="AV170" i="2"/>
  <c r="AV171" i="2" s="1"/>
  <c r="AW170" i="2"/>
  <c r="AW171" i="2" s="1"/>
  <c r="AW173" i="2" s="1"/>
  <c r="BA170" i="2"/>
  <c r="BA171" i="2" s="1"/>
  <c r="BB170" i="2"/>
  <c r="BB171" i="2" s="1"/>
  <c r="BB173" i="2" s="1"/>
  <c r="BF170" i="2"/>
  <c r="BF171" i="2" s="1"/>
  <c r="BF173" i="2" s="1"/>
  <c r="BG170" i="2"/>
  <c r="BG171" i="2" s="1"/>
  <c r="BG173" i="2" s="1"/>
  <c r="BK170" i="2"/>
  <c r="BK171" i="2" s="1"/>
  <c r="BL170" i="2"/>
  <c r="BL171" i="2" s="1"/>
  <c r="BL173" i="2" s="1"/>
  <c r="H175" i="2"/>
  <c r="I175" i="2"/>
  <c r="M175" i="2"/>
  <c r="N175" i="2"/>
  <c r="R175" i="2"/>
  <c r="S175" i="2"/>
  <c r="W175" i="2"/>
  <c r="X175" i="2"/>
  <c r="AB175" i="2"/>
  <c r="AC175" i="2"/>
  <c r="AG175" i="2"/>
  <c r="AH175" i="2"/>
  <c r="AM175" i="2"/>
  <c r="AR175" i="2"/>
  <c r="AV175" i="2"/>
  <c r="BB175" i="2"/>
  <c r="BD175" i="2"/>
  <c r="BG175" i="2"/>
  <c r="BH175" i="2"/>
  <c r="BL175" i="2"/>
  <c r="H178" i="2"/>
  <c r="M178" i="2"/>
  <c r="R178" i="2"/>
  <c r="W178" i="2"/>
  <c r="AB178" i="2"/>
  <c r="AG178" i="2"/>
  <c r="AK178" i="2"/>
  <c r="AL178" i="2"/>
  <c r="AP178" i="2"/>
  <c r="AQ178" i="2"/>
  <c r="AR178" i="2"/>
  <c r="AS178" i="2"/>
  <c r="AT178" i="2"/>
  <c r="AU178" i="2"/>
  <c r="AV178" i="2"/>
  <c r="AW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CQ178" i="2"/>
  <c r="CR178" i="2"/>
  <c r="CS178" i="2"/>
  <c r="CT178" i="2"/>
  <c r="CU178" i="2"/>
  <c r="CV178" i="2"/>
  <c r="CW178" i="2"/>
  <c r="CX178" i="2"/>
  <c r="CY178" i="2"/>
  <c r="AM179" i="2"/>
  <c r="AN179" i="2"/>
  <c r="AO179" i="2"/>
  <c r="AP179" i="2"/>
  <c r="AR179" i="2"/>
  <c r="AS179" i="2"/>
  <c r="AT179" i="2"/>
  <c r="AU179" i="2"/>
  <c r="AK181" i="2"/>
  <c r="AM181" i="2"/>
  <c r="AU181" i="2"/>
  <c r="CE181" i="2"/>
  <c r="AM182" i="2"/>
  <c r="AN182" i="2"/>
  <c r="AO182" i="2"/>
  <c r="AP182" i="2"/>
  <c r="AR182" i="2"/>
  <c r="AS182" i="2"/>
  <c r="AT182" i="2"/>
  <c r="AU182" i="2"/>
  <c r="AW182" i="2"/>
  <c r="AY182" i="2"/>
  <c r="AZ182" i="2"/>
  <c r="BB182" i="2"/>
  <c r="BC182" i="2"/>
  <c r="BD182" i="2"/>
  <c r="BE182" i="2"/>
  <c r="BG182" i="2"/>
  <c r="BH182" i="2"/>
  <c r="BI182" i="2"/>
  <c r="BL182" i="2"/>
  <c r="BM182" i="2"/>
  <c r="AM183" i="2"/>
  <c r="AN183" i="2"/>
  <c r="AO183" i="2"/>
  <c r="AP183" i="2"/>
  <c r="AR183" i="2"/>
  <c r="AS183" i="2"/>
  <c r="AT183" i="2"/>
  <c r="AU183" i="2"/>
  <c r="AW183" i="2"/>
  <c r="AX183" i="2"/>
  <c r="AY183" i="2"/>
  <c r="AZ183" i="2"/>
  <c r="BB183" i="2"/>
  <c r="BC183" i="2"/>
  <c r="BD183" i="2"/>
  <c r="BE183" i="2"/>
  <c r="BG183" i="2"/>
  <c r="BH183" i="2"/>
  <c r="BI183" i="2"/>
  <c r="BL183" i="2"/>
  <c r="BM183" i="2"/>
  <c r="AM184" i="2"/>
  <c r="AM229" i="2" s="1"/>
  <c r="AN184" i="2"/>
  <c r="AN229" i="2" s="1"/>
  <c r="AO184" i="2"/>
  <c r="AO229" i="2" s="1"/>
  <c r="AP184" i="2"/>
  <c r="AP229" i="2" s="1"/>
  <c r="AR184" i="2"/>
  <c r="AR229" i="2" s="1"/>
  <c r="AS184" i="2"/>
  <c r="AS229" i="2" s="1"/>
  <c r="AT184" i="2"/>
  <c r="AT229" i="2" s="1"/>
  <c r="AU184" i="2"/>
  <c r="AU229" i="2" s="1"/>
  <c r="AW184" i="2"/>
  <c r="AW229" i="2" s="1"/>
  <c r="AX184" i="2"/>
  <c r="AX229" i="2" s="1"/>
  <c r="AY184" i="2"/>
  <c r="AY229" i="2" s="1"/>
  <c r="AZ184" i="2"/>
  <c r="AZ229" i="2" s="1"/>
  <c r="BB184" i="2"/>
  <c r="BB229" i="2" s="1"/>
  <c r="BC184" i="2"/>
  <c r="BC229" i="2" s="1"/>
  <c r="BD184" i="2"/>
  <c r="BD229" i="2" s="1"/>
  <c r="BE184" i="2"/>
  <c r="BE229" i="2" s="1"/>
  <c r="BG184" i="2"/>
  <c r="BG229" i="2" s="1"/>
  <c r="BH184" i="2"/>
  <c r="BH229" i="2" s="1"/>
  <c r="BI184" i="2"/>
  <c r="BI229" i="2" s="1"/>
  <c r="BL184" i="2"/>
  <c r="BL229" i="2" s="1"/>
  <c r="BM184" i="2"/>
  <c r="BM229" i="2" s="1"/>
  <c r="N185" i="2"/>
  <c r="O185" i="2"/>
  <c r="P185" i="2"/>
  <c r="Q185" i="2"/>
  <c r="S185" i="2"/>
  <c r="T185" i="2"/>
  <c r="U185" i="2"/>
  <c r="V185" i="2"/>
  <c r="X185" i="2"/>
  <c r="Y185" i="2"/>
  <c r="Z185" i="2"/>
  <c r="AB185" i="2"/>
  <c r="AC185" i="2"/>
  <c r="AD185" i="2"/>
  <c r="AG185" i="2"/>
  <c r="AH185" i="2"/>
  <c r="AI185" i="2"/>
  <c r="AJ185" i="2"/>
  <c r="AK185" i="2"/>
  <c r="AM185" i="2"/>
  <c r="AN185" i="2"/>
  <c r="AO185" i="2"/>
  <c r="AP185" i="2"/>
  <c r="AR185" i="2"/>
  <c r="AS185" i="2"/>
  <c r="AT185" i="2"/>
  <c r="AU185" i="2"/>
  <c r="N186" i="2"/>
  <c r="N228" i="2" s="1"/>
  <c r="O186" i="2"/>
  <c r="O228" i="2" s="1"/>
  <c r="P186" i="2"/>
  <c r="P228" i="2" s="1"/>
  <c r="Q186" i="2"/>
  <c r="Q228" i="2" s="1"/>
  <c r="S186" i="2"/>
  <c r="S228" i="2" s="1"/>
  <c r="T186" i="2"/>
  <c r="T228" i="2" s="1"/>
  <c r="U186" i="2"/>
  <c r="U228" i="2" s="1"/>
  <c r="V186" i="2"/>
  <c r="V228" i="2" s="1"/>
  <c r="X186" i="2"/>
  <c r="X228" i="2" s="1"/>
  <c r="Y186" i="2"/>
  <c r="Y228" i="2" s="1"/>
  <c r="Z186" i="2"/>
  <c r="Z228" i="2" s="1"/>
  <c r="AB186" i="2"/>
  <c r="AB228" i="2" s="1"/>
  <c r="AC186" i="2"/>
  <c r="AC228" i="2" s="1"/>
  <c r="AD186" i="2"/>
  <c r="AD228" i="2" s="1"/>
  <c r="AG186" i="2"/>
  <c r="AG228" i="2" s="1"/>
  <c r="AH186" i="2"/>
  <c r="AH228" i="2" s="1"/>
  <c r="AI186" i="2"/>
  <c r="AI228" i="2" s="1"/>
  <c r="AJ186" i="2"/>
  <c r="AJ228" i="2" s="1"/>
  <c r="AK186" i="2"/>
  <c r="AK228" i="2" s="1"/>
  <c r="AM186" i="2"/>
  <c r="AM228" i="2" s="1"/>
  <c r="AN186" i="2"/>
  <c r="AN228" i="2" s="1"/>
  <c r="AO186" i="2"/>
  <c r="AO228" i="2" s="1"/>
  <c r="AP186" i="2"/>
  <c r="AP228" i="2" s="1"/>
  <c r="AR186" i="2"/>
  <c r="AR228" i="2" s="1"/>
  <c r="AS186" i="2"/>
  <c r="AS228" i="2" s="1"/>
  <c r="AT186" i="2"/>
  <c r="AT228" i="2" s="1"/>
  <c r="AU186" i="2"/>
  <c r="AU228" i="2" s="1"/>
  <c r="AM187" i="2"/>
  <c r="AN187" i="2"/>
  <c r="AO187" i="2"/>
  <c r="AP187" i="2"/>
  <c r="AR187" i="2"/>
  <c r="AS187" i="2"/>
  <c r="AT187" i="2"/>
  <c r="AU187" i="2"/>
  <c r="AW187" i="2"/>
  <c r="AX187" i="2"/>
  <c r="AY187" i="2"/>
  <c r="AZ187" i="2"/>
  <c r="BB187" i="2"/>
  <c r="BC187" i="2"/>
  <c r="BD187" i="2"/>
  <c r="BE187" i="2"/>
  <c r="BG187" i="2"/>
  <c r="BH187" i="2"/>
  <c r="BI187" i="2"/>
  <c r="BL187" i="2"/>
  <c r="H188" i="2"/>
  <c r="I188" i="2"/>
  <c r="M188" i="2"/>
  <c r="N188" i="2"/>
  <c r="R188" i="2"/>
  <c r="S188" i="2"/>
  <c r="W188" i="2"/>
  <c r="X188" i="2"/>
  <c r="AB188" i="2"/>
  <c r="AC188" i="2"/>
  <c r="AG188" i="2"/>
  <c r="AH188" i="2"/>
  <c r="AL188" i="2"/>
  <c r="AM188" i="2"/>
  <c r="AQ188" i="2"/>
  <c r="AR188" i="2"/>
  <c r="AV188" i="2"/>
  <c r="AW188" i="2"/>
  <c r="BA188" i="2"/>
  <c r="BB188" i="2"/>
  <c r="BF188" i="2"/>
  <c r="BG188" i="2"/>
  <c r="BK188" i="2"/>
  <c r="BL188" i="2"/>
  <c r="AM189" i="2"/>
  <c r="AR189" i="2"/>
  <c r="AW189" i="2"/>
  <c r="BB189" i="2"/>
  <c r="BG189" i="2"/>
  <c r="BL189" i="2"/>
  <c r="AH190" i="2"/>
  <c r="BG191" i="2"/>
  <c r="BL191" i="2"/>
  <c r="N192" i="2"/>
  <c r="O192" i="2"/>
  <c r="P192" i="2"/>
  <c r="Q192" i="2"/>
  <c r="S192" i="2"/>
  <c r="T192" i="2"/>
  <c r="U192" i="2"/>
  <c r="V192" i="2"/>
  <c r="X192" i="2"/>
  <c r="Y192" i="2"/>
  <c r="Z192" i="2"/>
  <c r="AB192" i="2"/>
  <c r="AC192" i="2"/>
  <c r="AD192" i="2"/>
  <c r="AG192" i="2"/>
  <c r="AH192" i="2"/>
  <c r="AI192" i="2"/>
  <c r="AJ192" i="2"/>
  <c r="AK192" i="2"/>
  <c r="AM192" i="2"/>
  <c r="AN192" i="2"/>
  <c r="AO192" i="2"/>
  <c r="AP192" i="2"/>
  <c r="AR192" i="2"/>
  <c r="AS192" i="2"/>
  <c r="AT192" i="2"/>
  <c r="AU192" i="2"/>
  <c r="N193" i="2"/>
  <c r="N230" i="2" s="1"/>
  <c r="O193" i="2"/>
  <c r="O230" i="2" s="1"/>
  <c r="P193" i="2"/>
  <c r="P230" i="2" s="1"/>
  <c r="Q193" i="2"/>
  <c r="Q230" i="2" s="1"/>
  <c r="S193" i="2"/>
  <c r="S230" i="2" s="1"/>
  <c r="T193" i="2"/>
  <c r="T230" i="2" s="1"/>
  <c r="U193" i="2"/>
  <c r="U230" i="2" s="1"/>
  <c r="V193" i="2"/>
  <c r="V230" i="2" s="1"/>
  <c r="X193" i="2"/>
  <c r="X230" i="2" s="1"/>
  <c r="Y193" i="2"/>
  <c r="Y230" i="2" s="1"/>
  <c r="Z193" i="2"/>
  <c r="Z230" i="2" s="1"/>
  <c r="AB193" i="2"/>
  <c r="AB230" i="2" s="1"/>
  <c r="AC193" i="2"/>
  <c r="AC230" i="2" s="1"/>
  <c r="AD193" i="2"/>
  <c r="AD230" i="2" s="1"/>
  <c r="AF193" i="2"/>
  <c r="AF230" i="2" s="1"/>
  <c r="AG193" i="2"/>
  <c r="AG230" i="2" s="1"/>
  <c r="AH193" i="2"/>
  <c r="AH230" i="2" s="1"/>
  <c r="AI193" i="2"/>
  <c r="AI230" i="2" s="1"/>
  <c r="AJ193" i="2"/>
  <c r="AJ230" i="2" s="1"/>
  <c r="AK193" i="2"/>
  <c r="AK230" i="2" s="1"/>
  <c r="AM193" i="2"/>
  <c r="AM230" i="2" s="1"/>
  <c r="AN193" i="2"/>
  <c r="AN230" i="2" s="1"/>
  <c r="AO193" i="2"/>
  <c r="AO230" i="2" s="1"/>
  <c r="AP193" i="2"/>
  <c r="AP230" i="2" s="1"/>
  <c r="AR193" i="2"/>
  <c r="AR230" i="2" s="1"/>
  <c r="AS193" i="2"/>
  <c r="AS230" i="2" s="1"/>
  <c r="AT193" i="2"/>
  <c r="AT230" i="2" s="1"/>
  <c r="AU193" i="2"/>
  <c r="AU230" i="2" s="1"/>
  <c r="AW193" i="2"/>
  <c r="AW230" i="2" s="1"/>
  <c r="BE193" i="2"/>
  <c r="BE230" i="2" s="1"/>
  <c r="AM195" i="2"/>
  <c r="AN195" i="2"/>
  <c r="AO195" i="2"/>
  <c r="AP195" i="2"/>
  <c r="AR195" i="2"/>
  <c r="AS195" i="2"/>
  <c r="AT195" i="2"/>
  <c r="AU195" i="2"/>
  <c r="AW195" i="2"/>
  <c r="AX195" i="2"/>
  <c r="AY195" i="2"/>
  <c r="AZ195" i="2"/>
  <c r="BB195" i="2"/>
  <c r="BC195" i="2"/>
  <c r="BD195" i="2"/>
  <c r="BE195" i="2"/>
  <c r="BG195" i="2"/>
  <c r="BH195" i="2"/>
  <c r="BI195" i="2"/>
  <c r="BL195" i="2"/>
  <c r="H196" i="2"/>
  <c r="I196" i="2"/>
  <c r="N196" i="2"/>
  <c r="S196" i="2"/>
  <c r="X196" i="2"/>
  <c r="AC196" i="2"/>
  <c r="AH196" i="2"/>
  <c r="AM196" i="2"/>
  <c r="AN196" i="2"/>
  <c r="AO196" i="2"/>
  <c r="AR196" i="2"/>
  <c r="AS196" i="2"/>
  <c r="AT196" i="2"/>
  <c r="AX196" i="2"/>
  <c r="AY196" i="2"/>
  <c r="BB196" i="2"/>
  <c r="BC196" i="2"/>
  <c r="BD196" i="2"/>
  <c r="BG196" i="2"/>
  <c r="BH196" i="2"/>
  <c r="BL196" i="2"/>
  <c r="T200" i="2"/>
  <c r="T83" i="2" s="1"/>
  <c r="AL200" i="2"/>
  <c r="AO200" i="2"/>
  <c r="AQ200" i="2" s="1"/>
  <c r="AU200" i="2"/>
  <c r="AU83" i="2" s="1"/>
  <c r="AW200" i="2"/>
  <c r="AW83" i="2" s="1"/>
  <c r="AX200" i="2"/>
  <c r="AX83" i="2" s="1"/>
  <c r="AY200" i="2"/>
  <c r="AY83" i="2" s="1"/>
  <c r="BF200" i="2"/>
  <c r="BK200" i="2"/>
  <c r="BB201" i="2"/>
  <c r="BC201" i="2"/>
  <c r="BD201" i="2"/>
  <c r="BF201" i="2"/>
  <c r="BJ201" i="2"/>
  <c r="BL201" i="2" s="1"/>
  <c r="BM201" i="2" s="1"/>
  <c r="BK201" i="2"/>
  <c r="I202" i="2"/>
  <c r="M202" i="2"/>
  <c r="N202" i="2"/>
  <c r="R202" i="2"/>
  <c r="R80" i="2" s="1"/>
  <c r="S202" i="2"/>
  <c r="S80" i="2" s="1"/>
  <c r="W202" i="2"/>
  <c r="W80" i="2" s="1"/>
  <c r="X202" i="2"/>
  <c r="X201" i="2" s="1"/>
  <c r="AB202" i="2"/>
  <c r="AB201" i="2" s="1"/>
  <c r="AC202" i="2"/>
  <c r="AC80" i="2" s="1"/>
  <c r="AG202" i="2"/>
  <c r="AG80" i="2" s="1"/>
  <c r="AH202" i="2"/>
  <c r="AH80" i="2" s="1"/>
  <c r="AM202" i="2"/>
  <c r="AM80" i="2" s="1"/>
  <c r="AW202" i="2"/>
  <c r="AW80" i="2" s="1"/>
  <c r="BE202" i="2"/>
  <c r="BE201" i="2" s="1"/>
  <c r="BO80" i="2"/>
  <c r="CA202" i="2"/>
  <c r="CF202" i="2"/>
  <c r="CK202" i="2"/>
  <c r="CL202" i="2" s="1"/>
  <c r="CP202" i="2"/>
  <c r="BH205" i="2"/>
  <c r="CB205" i="2"/>
  <c r="CC205" i="2" s="1"/>
  <c r="I210" i="2"/>
  <c r="J210" i="2"/>
  <c r="K210" i="2"/>
  <c r="L210" i="2"/>
  <c r="N210" i="2"/>
  <c r="O210" i="2"/>
  <c r="P210" i="2"/>
  <c r="Q210" i="2"/>
  <c r="S210" i="2"/>
  <c r="T210" i="2"/>
  <c r="U210" i="2"/>
  <c r="V210" i="2"/>
  <c r="X210" i="2"/>
  <c r="Y210" i="2"/>
  <c r="Z210" i="2"/>
  <c r="AB210" i="2"/>
  <c r="AC210" i="2"/>
  <c r="AD210" i="2"/>
  <c r="AE210" i="2"/>
  <c r="AG210" i="2"/>
  <c r="AH210" i="2"/>
  <c r="AI210" i="2"/>
  <c r="AJ210" i="2"/>
  <c r="AK210" i="2"/>
  <c r="AM210" i="2"/>
  <c r="AN210" i="2"/>
  <c r="AO210" i="2"/>
  <c r="AP210" i="2"/>
  <c r="AR210" i="2"/>
  <c r="AS210" i="2"/>
  <c r="AT210" i="2"/>
  <c r="AU210" i="2"/>
  <c r="AW210" i="2"/>
  <c r="AX210" i="2"/>
  <c r="AY210" i="2"/>
  <c r="AZ210" i="2"/>
  <c r="BB210" i="2"/>
  <c r="BC210" i="2"/>
  <c r="BD210" i="2"/>
  <c r="BE210" i="2"/>
  <c r="BG210" i="2"/>
  <c r="BH210" i="2"/>
  <c r="BI210" i="2"/>
  <c r="BJ210" i="2"/>
  <c r="BL210" i="2"/>
  <c r="BM210" i="2"/>
  <c r="I211" i="2"/>
  <c r="J211" i="2"/>
  <c r="K211" i="2"/>
  <c r="L211" i="2"/>
  <c r="N211" i="2"/>
  <c r="O211" i="2"/>
  <c r="P211" i="2"/>
  <c r="Q211" i="2"/>
  <c r="S211" i="2"/>
  <c r="T211" i="2"/>
  <c r="U211" i="2"/>
  <c r="V211" i="2"/>
  <c r="X211" i="2"/>
  <c r="Y211" i="2"/>
  <c r="Z211" i="2"/>
  <c r="AB211" i="2"/>
  <c r="AC211" i="2"/>
  <c r="AD211" i="2"/>
  <c r="AE211" i="2"/>
  <c r="AG211" i="2"/>
  <c r="AI211" i="2"/>
  <c r="AJ211" i="2"/>
  <c r="AK211" i="2"/>
  <c r="AM211" i="2"/>
  <c r="AN211" i="2"/>
  <c r="AO211" i="2"/>
  <c r="AR211" i="2"/>
  <c r="AS211" i="2"/>
  <c r="AS212" i="2" s="1"/>
  <c r="AS293" i="2" s="1"/>
  <c r="AT211" i="2"/>
  <c r="AU211" i="2"/>
  <c r="AW211" i="2"/>
  <c r="AY211" i="2"/>
  <c r="AZ211" i="2"/>
  <c r="BB211" i="2"/>
  <c r="BC211" i="2"/>
  <c r="BD211" i="2"/>
  <c r="BE211" i="2"/>
  <c r="BG211" i="2"/>
  <c r="BH211" i="2"/>
  <c r="BI211" i="2"/>
  <c r="BJ211" i="2"/>
  <c r="BL211" i="2"/>
  <c r="BM211" i="2"/>
  <c r="CF213" i="2"/>
  <c r="CG213" i="2" s="1"/>
  <c r="CH213" i="2" s="1"/>
  <c r="CI213" i="2" s="1"/>
  <c r="CK213" i="2" s="1"/>
  <c r="CL213" i="2" s="1"/>
  <c r="CM213" i="2" s="1"/>
  <c r="CN213" i="2" s="1"/>
  <c r="CP213" i="2" s="1"/>
  <c r="CQ213" i="2" s="1"/>
  <c r="CR213" i="2" s="1"/>
  <c r="CS213" i="2" s="1"/>
  <c r="CU213" i="2" s="1"/>
  <c r="CV213" i="2" s="1"/>
  <c r="CW213" i="2" s="1"/>
  <c r="CX213" i="2" s="1"/>
  <c r="CF214" i="2"/>
  <c r="CG214" i="2" s="1"/>
  <c r="CH214" i="2" s="1"/>
  <c r="CI214" i="2" s="1"/>
  <c r="CK214" i="2" s="1"/>
  <c r="CL214" i="2" s="1"/>
  <c r="CM214" i="2" s="1"/>
  <c r="CN214" i="2" s="1"/>
  <c r="CP214" i="2" s="1"/>
  <c r="CQ214" i="2" s="1"/>
  <c r="CR214" i="2" s="1"/>
  <c r="CS214" i="2" s="1"/>
  <c r="CU214" i="2" s="1"/>
  <c r="CV214" i="2" s="1"/>
  <c r="CW214" i="2" s="1"/>
  <c r="CX214" i="2" s="1"/>
  <c r="H221" i="2"/>
  <c r="M221" i="2"/>
  <c r="R221" i="2"/>
  <c r="W221" i="2"/>
  <c r="AB221" i="2"/>
  <c r="AG221" i="2"/>
  <c r="AK221" i="2"/>
  <c r="AL221" i="2"/>
  <c r="AP221" i="2"/>
  <c r="AQ221" i="2"/>
  <c r="AR221" i="2"/>
  <c r="AS221" i="2"/>
  <c r="AT221" i="2"/>
  <c r="AU221" i="2"/>
  <c r="AV221" i="2"/>
  <c r="AW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X221" i="2"/>
  <c r="BY221" i="2"/>
  <c r="BZ221" i="2"/>
  <c r="CA221" i="2"/>
  <c r="CB221" i="2"/>
  <c r="CC221" i="2"/>
  <c r="CD221" i="2"/>
  <c r="CE221" i="2"/>
  <c r="CF221" i="2"/>
  <c r="CG221" i="2"/>
  <c r="CH221" i="2"/>
  <c r="CI221" i="2"/>
  <c r="CJ221" i="2"/>
  <c r="CK221" i="2"/>
  <c r="CL221" i="2"/>
  <c r="CM221" i="2"/>
  <c r="CN221" i="2"/>
  <c r="CO221" i="2"/>
  <c r="CP221" i="2"/>
  <c r="CQ221" i="2"/>
  <c r="CR221" i="2"/>
  <c r="CS221" i="2"/>
  <c r="CT221" i="2"/>
  <c r="CU221" i="2"/>
  <c r="CV221" i="2"/>
  <c r="CW221" i="2"/>
  <c r="CX221" i="2"/>
  <c r="CY221" i="2"/>
  <c r="K222" i="2"/>
  <c r="AK223" i="2"/>
  <c r="AM223" i="2"/>
  <c r="CE223" i="2"/>
  <c r="H227" i="2"/>
  <c r="M227" i="2"/>
  <c r="R227" i="2"/>
  <c r="W227" i="2"/>
  <c r="AB227" i="2"/>
  <c r="AG227" i="2"/>
  <c r="AK227" i="2"/>
  <c r="AL227" i="2"/>
  <c r="AP227" i="2"/>
  <c r="AQ227" i="2"/>
  <c r="AR227" i="2"/>
  <c r="AS227" i="2"/>
  <c r="AT227" i="2"/>
  <c r="AU227" i="2"/>
  <c r="AV227" i="2"/>
  <c r="AW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X227" i="2"/>
  <c r="BY227" i="2"/>
  <c r="BZ227" i="2"/>
  <c r="CA227" i="2"/>
  <c r="CB227" i="2"/>
  <c r="CC227" i="2"/>
  <c r="CD227" i="2"/>
  <c r="CE227" i="2"/>
  <c r="CF227" i="2"/>
  <c r="CG227" i="2"/>
  <c r="CH227" i="2"/>
  <c r="CI227" i="2"/>
  <c r="CJ227" i="2"/>
  <c r="CK227" i="2"/>
  <c r="CL227" i="2"/>
  <c r="CM227" i="2"/>
  <c r="CN227" i="2"/>
  <c r="CO227" i="2"/>
  <c r="CP227" i="2"/>
  <c r="CQ227" i="2"/>
  <c r="CR227" i="2"/>
  <c r="CS227" i="2"/>
  <c r="CT227" i="2"/>
  <c r="CU227" i="2"/>
  <c r="CV227" i="2"/>
  <c r="CW227" i="2"/>
  <c r="CX227" i="2"/>
  <c r="CY227" i="2"/>
  <c r="AM260" i="2"/>
  <c r="AN260" i="2"/>
  <c r="AO260" i="2"/>
  <c r="AP260" i="2"/>
  <c r="AQ260" i="2"/>
  <c r="AR260" i="2"/>
  <c r="AS260" i="2"/>
  <c r="AT260" i="2"/>
  <c r="AU260" i="2"/>
  <c r="AM261" i="2"/>
  <c r="AN261" i="2"/>
  <c r="AO261" i="2"/>
  <c r="AP261" i="2"/>
  <c r="AQ261" i="2"/>
  <c r="AR261" i="2"/>
  <c r="AS261" i="2"/>
  <c r="AT261" i="2"/>
  <c r="AU261" i="2"/>
  <c r="AV261" i="2"/>
  <c r="AW261" i="2"/>
  <c r="AX261" i="2"/>
  <c r="AY261" i="2"/>
  <c r="AZ261" i="2"/>
  <c r="BA261" i="2"/>
  <c r="BB261" i="2"/>
  <c r="BC261" i="2"/>
  <c r="BD261" i="2"/>
  <c r="BE261" i="2"/>
  <c r="BG261" i="2"/>
  <c r="BH261" i="2"/>
  <c r="BV261" i="2"/>
  <c r="BW261" i="2"/>
  <c r="BX261" i="2"/>
  <c r="BY261" i="2"/>
  <c r="CA261" i="2"/>
  <c r="CB261" i="2"/>
  <c r="CC261" i="2"/>
  <c r="CD261" i="2"/>
  <c r="CF261" i="2"/>
  <c r="CG261" i="2"/>
  <c r="CH261" i="2"/>
  <c r="CI261" i="2"/>
  <c r="CK261" i="2"/>
  <c r="CL261" i="2"/>
  <c r="CM261" i="2"/>
  <c r="CN261" i="2"/>
  <c r="I265" i="2"/>
  <c r="AC265" i="2"/>
  <c r="AW265" i="2"/>
  <c r="BB265" i="2"/>
  <c r="BG265" i="2"/>
  <c r="BH265" i="2"/>
  <c r="BL265" i="2"/>
  <c r="BQ265" i="2"/>
  <c r="BR265" i="2"/>
  <c r="BS265" i="2"/>
  <c r="BT265" i="2"/>
  <c r="BV265" i="2"/>
  <c r="BW265" i="2"/>
  <c r="BX265" i="2"/>
  <c r="CA265" i="2"/>
  <c r="CB265" i="2"/>
  <c r="CC265" i="2"/>
  <c r="CD265" i="2"/>
  <c r="CF265" i="2"/>
  <c r="CG265" i="2"/>
  <c r="CH265" i="2"/>
  <c r="CI265" i="2"/>
  <c r="CK265" i="2"/>
  <c r="CL265" i="2"/>
  <c r="CM265" i="2"/>
  <c r="CN265" i="2"/>
  <c r="AR271" i="2"/>
  <c r="AS271" i="2"/>
  <c r="AM286" i="2"/>
  <c r="AN286" i="2"/>
  <c r="AO286" i="2"/>
  <c r="AP286" i="2"/>
  <c r="AR286" i="2"/>
  <c r="AS286" i="2"/>
  <c r="AT286" i="2"/>
  <c r="AU286" i="2"/>
  <c r="AW286" i="2"/>
  <c r="AX286" i="2"/>
  <c r="AY286" i="2"/>
  <c r="AZ286" i="2"/>
  <c r="BB286" i="2"/>
  <c r="BC286" i="2"/>
  <c r="BD286" i="2"/>
  <c r="BE286" i="2"/>
  <c r="BG286" i="2"/>
  <c r="BH286" i="2"/>
  <c r="BI286" i="2"/>
  <c r="BL286" i="2"/>
  <c r="BM286" i="2"/>
  <c r="AH288" i="2"/>
  <c r="AI288" i="2"/>
  <c r="AJ288" i="2"/>
  <c r="AK288" i="2"/>
  <c r="AM288" i="2"/>
  <c r="AN288" i="2"/>
  <c r="AO288" i="2"/>
  <c r="AP288" i="2"/>
  <c r="AR288" i="2"/>
  <c r="AS288" i="2"/>
  <c r="AT288" i="2"/>
  <c r="AU288" i="2"/>
  <c r="AW288" i="2"/>
  <c r="AX288" i="2"/>
  <c r="AY288" i="2"/>
  <c r="AZ288" i="2"/>
  <c r="BB288" i="2"/>
  <c r="BC288" i="2"/>
  <c r="BD288" i="2"/>
  <c r="BE288" i="2"/>
  <c r="BG288" i="2"/>
  <c r="BH288" i="2"/>
  <c r="BI288" i="2"/>
  <c r="BJ288" i="2"/>
  <c r="BL288" i="2"/>
  <c r="BM288" i="2"/>
  <c r="BN288" i="2"/>
  <c r="BO288" i="2"/>
  <c r="BP288" i="2"/>
  <c r="BQ288" i="2"/>
  <c r="BR288" i="2"/>
  <c r="BS288" i="2"/>
  <c r="BT288" i="2"/>
  <c r="BV288" i="2"/>
  <c r="BW288" i="2"/>
  <c r="BX288" i="2"/>
  <c r="BY288" i="2"/>
  <c r="CA288" i="2"/>
  <c r="CB288" i="2"/>
  <c r="CC288" i="2"/>
  <c r="CD288" i="2"/>
  <c r="CF288" i="2"/>
  <c r="CG288" i="2"/>
  <c r="CH288" i="2"/>
  <c r="CI288" i="2"/>
  <c r="CK288" i="2"/>
  <c r="CL288" i="2"/>
  <c r="CM288" i="2"/>
  <c r="CN288" i="2"/>
  <c r="CP288" i="2"/>
  <c r="CQ288" i="2"/>
  <c r="CR288" i="2"/>
  <c r="CS288" i="2"/>
  <c r="CU288" i="2"/>
  <c r="CV288" i="2"/>
  <c r="CW288" i="2"/>
  <c r="CX288" i="2"/>
  <c r="AG292" i="2"/>
  <c r="AH292" i="2"/>
  <c r="AL292" i="2"/>
  <c r="AM292" i="2"/>
  <c r="AQ292" i="2"/>
  <c r="AR292" i="2"/>
  <c r="AV292" i="2"/>
  <c r="AW292" i="2"/>
  <c r="BA292" i="2"/>
  <c r="BB292" i="2"/>
  <c r="BF292" i="2"/>
  <c r="BG292" i="2"/>
  <c r="BK292" i="2"/>
  <c r="BL292" i="2"/>
  <c r="AG294" i="2"/>
  <c r="AH294" i="2"/>
  <c r="AI294" i="2"/>
  <c r="AJ294" i="2"/>
  <c r="AK294" i="2"/>
  <c r="AM294" i="2"/>
  <c r="AN294" i="2"/>
  <c r="AO294" i="2"/>
  <c r="AP294" i="2"/>
  <c r="AQ294" i="2"/>
  <c r="AR294" i="2"/>
  <c r="AS294" i="2"/>
  <c r="AT294" i="2"/>
  <c r="AU294" i="2"/>
  <c r="AV294" i="2"/>
  <c r="AW294" i="2"/>
  <c r="AX294" i="2"/>
  <c r="AY294" i="2"/>
  <c r="AZ294" i="2"/>
  <c r="BA294" i="2"/>
  <c r="BB294" i="2"/>
  <c r="BC294" i="2"/>
  <c r="BD294" i="2"/>
  <c r="BE294" i="2"/>
  <c r="BF294" i="2"/>
  <c r="BG294" i="2"/>
  <c r="BH294" i="2"/>
  <c r="BI294" i="2"/>
  <c r="BJ294" i="2"/>
  <c r="BL294" i="2"/>
  <c r="BM294" i="2"/>
  <c r="AG295" i="2"/>
  <c r="AL295" i="2"/>
  <c r="AD202" i="2"/>
  <c r="AD80" i="2" s="1"/>
  <c r="AK109" i="2"/>
  <c r="AL109" i="2" s="1"/>
  <c r="AF211" i="2"/>
  <c r="AF159" i="2"/>
  <c r="M41" i="2"/>
  <c r="BH15" i="2"/>
  <c r="E158" i="2"/>
  <c r="F158" i="2" s="1"/>
  <c r="U145" i="2"/>
  <c r="U170" i="2" s="1"/>
  <c r="CT80" i="2"/>
  <c r="CY202" i="2"/>
  <c r="CU202" i="2" s="1"/>
  <c r="CV202" i="2" s="1"/>
  <c r="CV80" i="2" s="1"/>
  <c r="AV41" i="2"/>
  <c r="BP113" i="2"/>
  <c r="AK85" i="2"/>
  <c r="AU180" i="2"/>
  <c r="BG21" i="2"/>
  <c r="BL12" i="2"/>
  <c r="BP93" i="2"/>
  <c r="AJ31" i="8"/>
  <c r="BN294" i="2"/>
  <c r="AJ6" i="8"/>
  <c r="AJ34" i="8"/>
  <c r="BN286" i="2"/>
  <c r="BN195" i="2"/>
  <c r="BN182" i="2"/>
  <c r="BN184" i="2"/>
  <c r="BN229" i="2" s="1"/>
  <c r="BN210" i="2"/>
  <c r="AB152" i="2" l="1"/>
  <c r="R152" i="2"/>
  <c r="AP109" i="2"/>
  <c r="AP114" i="2" s="1"/>
  <c r="R211" i="2"/>
  <c r="BB190" i="2"/>
  <c r="AP141" i="2"/>
  <c r="AR291" i="2"/>
  <c r="BB291" i="2"/>
  <c r="BI109" i="2"/>
  <c r="BI114" i="2" s="1"/>
  <c r="BH186" i="2"/>
  <c r="BH228" i="2" s="1"/>
  <c r="AX223" i="2"/>
  <c r="Q124" i="2"/>
  <c r="AM221" i="2"/>
  <c r="I5" i="8"/>
  <c r="BF286" i="2"/>
  <c r="AR265" i="2"/>
  <c r="BC193" i="2"/>
  <c r="BC230" i="2" s="1"/>
  <c r="BC179" i="2"/>
  <c r="AG152" i="2"/>
  <c r="AL173" i="2"/>
  <c r="BP32" i="2"/>
  <c r="BE192" i="2"/>
  <c r="BE179" i="2"/>
  <c r="AQ195" i="2"/>
  <c r="BF257" i="2"/>
  <c r="BC175" i="2"/>
  <c r="CF135" i="2"/>
  <c r="CK135" i="2" s="1"/>
  <c r="CP135" i="2" s="1"/>
  <c r="CU135" i="2" s="1"/>
  <c r="T86" i="2"/>
  <c r="AM227" i="2"/>
  <c r="AI82" i="2"/>
  <c r="AL114" i="2"/>
  <c r="BK191" i="2"/>
  <c r="CB135" i="2"/>
  <c r="J29" i="8"/>
  <c r="P29" i="8"/>
  <c r="BJ151" i="2"/>
  <c r="AR223" i="2"/>
  <c r="BK173" i="2"/>
  <c r="BK174" i="2" s="1"/>
  <c r="AA108" i="2"/>
  <c r="AA109" i="2" s="1"/>
  <c r="AA114" i="2" s="1"/>
  <c r="BK294" i="2"/>
  <c r="AD212" i="2"/>
  <c r="AD217" i="2" s="1"/>
  <c r="R193" i="2"/>
  <c r="R230" i="2" s="1"/>
  <c r="W191" i="2"/>
  <c r="N86" i="2"/>
  <c r="BL176" i="2"/>
  <c r="BN193" i="2"/>
  <c r="BN230" i="2" s="1"/>
  <c r="AJ145" i="2"/>
  <c r="AJ170" i="2" s="1"/>
  <c r="J48" i="2"/>
  <c r="J50" i="2" s="1"/>
  <c r="J52" i="2" s="1"/>
  <c r="J223" i="2" s="1"/>
  <c r="J224" i="2" s="1"/>
  <c r="Y175" i="2"/>
  <c r="AO83" i="2"/>
  <c r="AO82" i="2" s="1"/>
  <c r="Z126" i="2"/>
  <c r="BN179" i="2"/>
  <c r="AX20" i="2"/>
  <c r="BH27" i="2"/>
  <c r="AL294" i="2"/>
  <c r="CA106" i="2"/>
  <c r="CB106" i="2" s="1"/>
  <c r="CC106" i="2" s="1"/>
  <c r="CD106" i="2" s="1"/>
  <c r="CE106" i="2" s="1"/>
  <c r="CF106" i="2" s="1"/>
  <c r="CG106" i="2" s="1"/>
  <c r="CH106" i="2" s="1"/>
  <c r="CI106" i="2" s="1"/>
  <c r="CJ106" i="2" s="1"/>
  <c r="CK106" i="2" s="1"/>
  <c r="CL106" i="2" s="1"/>
  <c r="CM106" i="2" s="1"/>
  <c r="CN106" i="2" s="1"/>
  <c r="CO106" i="2" s="1"/>
  <c r="CP106" i="2" s="1"/>
  <c r="CQ106" i="2" s="1"/>
  <c r="CR106" i="2" s="1"/>
  <c r="CS106" i="2" s="1"/>
  <c r="CT106" i="2" s="1"/>
  <c r="CU106" i="2" s="1"/>
  <c r="CV106" i="2" s="1"/>
  <c r="CW106" i="2" s="1"/>
  <c r="CX106" i="2" s="1"/>
  <c r="CY106" i="2" s="1"/>
  <c r="AQ182" i="2"/>
  <c r="K39" i="2"/>
  <c r="BN186" i="2"/>
  <c r="BN228" i="2" s="1"/>
  <c r="AF10" i="8"/>
  <c r="AP223" i="2"/>
  <c r="T39" i="8"/>
  <c r="CG202" i="2"/>
  <c r="CG80" i="2" s="1"/>
  <c r="CF80" i="2"/>
  <c r="CB202" i="2"/>
  <c r="CB80" i="2" s="1"/>
  <c r="CA80" i="2"/>
  <c r="AB76" i="8"/>
  <c r="AB21" i="8" s="1"/>
  <c r="BA62" i="8"/>
  <c r="AB79" i="8"/>
  <c r="AB86" i="8" s="1"/>
  <c r="AG79" i="8"/>
  <c r="AB75" i="8"/>
  <c r="AG75" i="8"/>
  <c r="AG21" i="8" s="1"/>
  <c r="AS60" i="8"/>
  <c r="AW40" i="8"/>
  <c r="BB40" i="8" s="1"/>
  <c r="BG40" i="8" s="1"/>
  <c r="BL40" i="8" s="1"/>
  <c r="BQ40" i="8" s="1"/>
  <c r="AH81" i="2"/>
  <c r="AH82" i="2" s="1"/>
  <c r="AG40" i="8"/>
  <c r="AO45" i="8"/>
  <c r="BN15" i="2"/>
  <c r="BN27" i="2" s="1"/>
  <c r="AO9" i="8"/>
  <c r="BN180" i="2"/>
  <c r="P82" i="2"/>
  <c r="BA81" i="2"/>
  <c r="AL34" i="8"/>
  <c r="AZ193" i="2"/>
  <c r="AZ230" i="2" s="1"/>
  <c r="AS202" i="2"/>
  <c r="AS201" i="2" s="1"/>
  <c r="BH41" i="2"/>
  <c r="BE144" i="2"/>
  <c r="AQ185" i="2"/>
  <c r="AD10" i="8"/>
  <c r="BM192" i="2"/>
  <c r="CL192" i="2" s="1"/>
  <c r="CQ192" i="2" s="1"/>
  <c r="CV192" i="2" s="1"/>
  <c r="AZ179" i="2"/>
  <c r="AQ108" i="2"/>
  <c r="AQ194" i="2" s="1"/>
  <c r="AN144" i="2"/>
  <c r="AO144" i="2" s="1"/>
  <c r="AO291" i="2" s="1"/>
  <c r="AK164" i="2"/>
  <c r="BE194" i="2"/>
  <c r="H176" i="2"/>
  <c r="BI102" i="2"/>
  <c r="BI275" i="2" s="1"/>
  <c r="R41" i="8"/>
  <c r="R46" i="8" s="1"/>
  <c r="BM20" i="2"/>
  <c r="BM22" i="2" s="1"/>
  <c r="BS118" i="2"/>
  <c r="BE27" i="2"/>
  <c r="BE28" i="2" s="1"/>
  <c r="W24" i="8"/>
  <c r="AZ194" i="2"/>
  <c r="BE86" i="2"/>
  <c r="AW86" i="2"/>
  <c r="BN185" i="2"/>
  <c r="CA223" i="2"/>
  <c r="CC223" i="2"/>
  <c r="AN46" i="8"/>
  <c r="AN9" i="8"/>
  <c r="AN10" i="8"/>
  <c r="AM10" i="8"/>
  <c r="AN45" i="8"/>
  <c r="AI15" i="8"/>
  <c r="M31" i="8"/>
  <c r="AJ20" i="8"/>
  <c r="AM9" i="8"/>
  <c r="AM7" i="8"/>
  <c r="AF29" i="8"/>
  <c r="AJ9" i="8"/>
  <c r="AL16" i="8"/>
  <c r="AW41" i="8"/>
  <c r="BB41" i="8" s="1"/>
  <c r="BG41" i="8" s="1"/>
  <c r="BL41" i="8" s="1"/>
  <c r="BQ41" i="8" s="1"/>
  <c r="AM46" i="8"/>
  <c r="AE27" i="8"/>
  <c r="AE48" i="8" s="1"/>
  <c r="AT150" i="2"/>
  <c r="AT265" i="2" s="1"/>
  <c r="AS265" i="2"/>
  <c r="Q137" i="2"/>
  <c r="AX265" i="2"/>
  <c r="X80" i="2"/>
  <c r="AE212" i="2"/>
  <c r="AE219" i="2" s="1"/>
  <c r="AT202" i="2"/>
  <c r="AT80" i="2" s="1"/>
  <c r="P145" i="2"/>
  <c r="P170" i="2" s="1"/>
  <c r="P171" i="2" s="1"/>
  <c r="P173" i="2" s="1"/>
  <c r="AV257" i="2"/>
  <c r="AO212" i="2"/>
  <c r="AO293" i="2" s="1"/>
  <c r="AZ213" i="2"/>
  <c r="AU213" i="2"/>
  <c r="AP213" i="2"/>
  <c r="BD194" i="2"/>
  <c r="R186" i="2"/>
  <c r="R228" i="2" s="1"/>
  <c r="AS175" i="2"/>
  <c r="W176" i="2"/>
  <c r="BB161" i="2"/>
  <c r="BB165" i="2" s="1"/>
  <c r="N161" i="2"/>
  <c r="M161" i="2"/>
  <c r="T126" i="2"/>
  <c r="AV195" i="2"/>
  <c r="AA210" i="2"/>
  <c r="AA212" i="2" s="1"/>
  <c r="AA217" i="2" s="1"/>
  <c r="AQ192" i="2"/>
  <c r="AI102" i="2"/>
  <c r="AI128" i="2" s="1"/>
  <c r="T102" i="2"/>
  <c r="AX97" i="2"/>
  <c r="AX102" i="2" s="1"/>
  <c r="BF183" i="2"/>
  <c r="AP27" i="2"/>
  <c r="AP28" i="2" s="1"/>
  <c r="BE6" i="2"/>
  <c r="BE271" i="2" s="1"/>
  <c r="AZ6" i="2"/>
  <c r="AZ260" i="2" s="1"/>
  <c r="AD39" i="8"/>
  <c r="AW41" i="2"/>
  <c r="AU157" i="2"/>
  <c r="AU202" i="2" s="1"/>
  <c r="AU80" i="2" s="1"/>
  <c r="BD185" i="2"/>
  <c r="N265" i="2"/>
  <c r="AE213" i="2"/>
  <c r="Y196" i="2"/>
  <c r="AR190" i="2"/>
  <c r="BB174" i="2"/>
  <c r="AH161" i="2"/>
  <c r="AV190" i="2"/>
  <c r="AZ109" i="2"/>
  <c r="AZ114" i="2" s="1"/>
  <c r="V114" i="2"/>
  <c r="N102" i="2"/>
  <c r="I102" i="2"/>
  <c r="I128" i="2" s="1"/>
  <c r="BF187" i="2"/>
  <c r="AQ186" i="2"/>
  <c r="AQ228" i="2" s="1"/>
  <c r="AS109" i="2"/>
  <c r="AS114" i="2" s="1"/>
  <c r="AD152" i="2"/>
  <c r="AF82" i="2"/>
  <c r="O82" i="2"/>
  <c r="AL86" i="2"/>
  <c r="K61" i="2"/>
  <c r="BA202" i="2"/>
  <c r="O202" i="2"/>
  <c r="O80" i="2" s="1"/>
  <c r="AQ190" i="2"/>
  <c r="W120" i="2"/>
  <c r="BG212" i="2"/>
  <c r="BG293" i="2" s="1"/>
  <c r="AT231" i="2"/>
  <c r="O175" i="2"/>
  <c r="D161" i="2"/>
  <c r="D165" i="2" s="1"/>
  <c r="D167" i="2" s="1"/>
  <c r="E166" i="2" s="1"/>
  <c r="AA144" i="2"/>
  <c r="Q144" i="2"/>
  <c r="AV192" i="2"/>
  <c r="AW102" i="2"/>
  <c r="AW275" i="2" s="1"/>
  <c r="AE102" i="2"/>
  <c r="AV185" i="2"/>
  <c r="AY20" i="2"/>
  <c r="AY180" i="2" s="1"/>
  <c r="BD6" i="2"/>
  <c r="BD271" i="2" s="1"/>
  <c r="X212" i="2"/>
  <c r="X219" i="2" s="1"/>
  <c r="BD213" i="2"/>
  <c r="S174" i="2"/>
  <c r="BA183" i="2"/>
  <c r="AF86" i="2"/>
  <c r="AP82" i="2"/>
  <c r="BC17" i="2"/>
  <c r="AL192" i="2"/>
  <c r="BH16" i="2"/>
  <c r="AK86" i="2"/>
  <c r="L136" i="2"/>
  <c r="BE109" i="2"/>
  <c r="BH192" i="2"/>
  <c r="BH12" i="2"/>
  <c r="BI189" i="2"/>
  <c r="AH213" i="2"/>
  <c r="AC213" i="2"/>
  <c r="AM191" i="2"/>
  <c r="BH189" i="2"/>
  <c r="AX186" i="2"/>
  <c r="AX228" i="2" s="1"/>
  <c r="AX185" i="2"/>
  <c r="BG174" i="2"/>
  <c r="AS170" i="2"/>
  <c r="AS171" i="2" s="1"/>
  <c r="AE150" i="2"/>
  <c r="AF150" i="2" s="1"/>
  <c r="AF265" i="2" s="1"/>
  <c r="J171" i="2"/>
  <c r="J173" i="2" s="1"/>
  <c r="G124" i="2"/>
  <c r="BC122" i="2"/>
  <c r="BC124" i="2" s="1"/>
  <c r="AL193" i="2"/>
  <c r="AL230" i="2" s="1"/>
  <c r="AW21" i="2"/>
  <c r="BB21" i="2"/>
  <c r="AB36" i="8"/>
  <c r="AG34" i="8"/>
  <c r="AW109" i="2"/>
  <c r="AW114" i="2" s="1"/>
  <c r="BI126" i="2"/>
  <c r="G142" i="2"/>
  <c r="AV183" i="2"/>
  <c r="AI39" i="8"/>
  <c r="BH185" i="2"/>
  <c r="BK108" i="2"/>
  <c r="BH292" i="2"/>
  <c r="AB212" i="2"/>
  <c r="AB213" i="2" s="1"/>
  <c r="AO213" i="2"/>
  <c r="AR194" i="2"/>
  <c r="AX193" i="2"/>
  <c r="AX230" i="2" s="1"/>
  <c r="BC192" i="2"/>
  <c r="BG190" i="2"/>
  <c r="AN189" i="2"/>
  <c r="AN188" i="2"/>
  <c r="AF186" i="2"/>
  <c r="AF228" i="2" s="1"/>
  <c r="AX179" i="2"/>
  <c r="H42" i="2"/>
  <c r="H270" i="2" s="1"/>
  <c r="BB124" i="2"/>
  <c r="AR126" i="2"/>
  <c r="R210" i="2"/>
  <c r="R212" i="2" s="1"/>
  <c r="R213" i="2" s="1"/>
  <c r="BL102" i="2"/>
  <c r="R190" i="2"/>
  <c r="BJ102" i="2"/>
  <c r="BJ275" i="2" s="1"/>
  <c r="AO102" i="2"/>
  <c r="AO275" i="2" s="1"/>
  <c r="AJ102" i="2"/>
  <c r="AJ275" i="2" s="1"/>
  <c r="O102" i="2"/>
  <c r="E102" i="2"/>
  <c r="AJ86" i="2"/>
  <c r="P86" i="2"/>
  <c r="AZ82" i="2"/>
  <c r="R86" i="2"/>
  <c r="AQ183" i="2"/>
  <c r="N39" i="8"/>
  <c r="AC39" i="8"/>
  <c r="BE212" i="2"/>
  <c r="BE293" i="2" s="1"/>
  <c r="AU17" i="2"/>
  <c r="U171" i="2"/>
  <c r="U173" i="2" s="1"/>
  <c r="BH193" i="2"/>
  <c r="BH230" i="2" s="1"/>
  <c r="BH231" i="2" s="1"/>
  <c r="AC191" i="2"/>
  <c r="AO292" i="2"/>
  <c r="AM194" i="2"/>
  <c r="AX192" i="2"/>
  <c r="BF191" i="2"/>
  <c r="T188" i="2"/>
  <c r="BC186" i="2"/>
  <c r="BC228" i="2" s="1"/>
  <c r="BC231" i="2" s="1"/>
  <c r="BC185" i="2"/>
  <c r="X161" i="2"/>
  <c r="AK155" i="2"/>
  <c r="AB161" i="2"/>
  <c r="AB165" i="2" s="1"/>
  <c r="J188" i="2"/>
  <c r="BG102" i="2"/>
  <c r="AR102" i="2"/>
  <c r="AV184" i="2"/>
  <c r="AV229" i="2" s="1"/>
  <c r="AD82" i="2"/>
  <c r="AV12" i="2"/>
  <c r="BI25" i="8"/>
  <c r="U20" i="8"/>
  <c r="U22" i="8" s="1"/>
  <c r="AR174" i="2"/>
  <c r="X174" i="2"/>
  <c r="T212" i="2"/>
  <c r="T217" i="2" s="1"/>
  <c r="U215" i="2" s="1"/>
  <c r="AQ41" i="2"/>
  <c r="BH102" i="2"/>
  <c r="G114" i="2"/>
  <c r="N152" i="2"/>
  <c r="D41" i="2"/>
  <c r="D42" i="2" s="1"/>
  <c r="AO109" i="2"/>
  <c r="AO114" i="2" s="1"/>
  <c r="BC134" i="2"/>
  <c r="BJ212" i="2"/>
  <c r="BJ293" i="2" s="1"/>
  <c r="AN212" i="2"/>
  <c r="AN293" i="2" s="1"/>
  <c r="AI212" i="2"/>
  <c r="AI293" i="2" s="1"/>
  <c r="Z212" i="2"/>
  <c r="Z217" i="2" s="1"/>
  <c r="AA215" i="2" s="1"/>
  <c r="K212" i="2"/>
  <c r="K217" i="2" s="1"/>
  <c r="L215" i="2" s="1"/>
  <c r="BE80" i="2"/>
  <c r="AB80" i="2"/>
  <c r="W201" i="2"/>
  <c r="AW201" i="2"/>
  <c r="BG193" i="2"/>
  <c r="BG230" i="2" s="1"/>
  <c r="BG192" i="2"/>
  <c r="AW192" i="2"/>
  <c r="AH191" i="2"/>
  <c r="BB186" i="2"/>
  <c r="BB228" i="2" s="1"/>
  <c r="AE186" i="2"/>
  <c r="AE228" i="2" s="1"/>
  <c r="AD170" i="2"/>
  <c r="AD171" i="2" s="1"/>
  <c r="AD173" i="2" s="1"/>
  <c r="W161" i="2"/>
  <c r="CO265" i="2"/>
  <c r="BU265" i="2"/>
  <c r="AD265" i="2"/>
  <c r="AI134" i="2"/>
  <c r="AI190" i="2" s="1"/>
  <c r="AP124" i="2"/>
  <c r="AP126" i="2" s="1"/>
  <c r="AW124" i="2"/>
  <c r="L114" i="2"/>
  <c r="BH109" i="2"/>
  <c r="BH114" i="2" s="1"/>
  <c r="N126" i="2"/>
  <c r="BB86" i="2"/>
  <c r="R82" i="2"/>
  <c r="AS27" i="2"/>
  <c r="AS28" i="2" s="1"/>
  <c r="AV25" i="2"/>
  <c r="BH21" i="2"/>
  <c r="AT17" i="2"/>
  <c r="BB12" i="2"/>
  <c r="BG13" i="2" s="1"/>
  <c r="AV15" i="2"/>
  <c r="AV16" i="2" s="1"/>
  <c r="V39" i="8"/>
  <c r="AD27" i="8"/>
  <c r="AD48" i="8" s="1"/>
  <c r="AL124" i="2"/>
  <c r="S81" i="2"/>
  <c r="S82" i="2" s="1"/>
  <c r="CY80" i="2"/>
  <c r="AO158" i="2"/>
  <c r="AP158" i="2" s="1"/>
  <c r="P39" i="8"/>
  <c r="J39" i="2"/>
  <c r="BB191" i="2"/>
  <c r="M222" i="2"/>
  <c r="I222" i="2"/>
  <c r="AW212" i="2"/>
  <c r="AW293" i="2" s="1"/>
  <c r="BJ213" i="2"/>
  <c r="AM212" i="2"/>
  <c r="AM293" i="2" s="1"/>
  <c r="AQ191" i="2"/>
  <c r="X190" i="2"/>
  <c r="AS188" i="2"/>
  <c r="BL186" i="2"/>
  <c r="BL228" i="2" s="1"/>
  <c r="BB185" i="2"/>
  <c r="BG179" i="2"/>
  <c r="AW179" i="2"/>
  <c r="AC176" i="2"/>
  <c r="U158" i="2"/>
  <c r="V158" i="2" s="1"/>
  <c r="AM152" i="2"/>
  <c r="AM216" i="2" s="1"/>
  <c r="M152" i="2"/>
  <c r="CJ265" i="2"/>
  <c r="AU124" i="2"/>
  <c r="AT109" i="2"/>
  <c r="AT114" i="2" s="1"/>
  <c r="AF210" i="2"/>
  <c r="AF212" i="2" s="1"/>
  <c r="AF217" i="2" s="1"/>
  <c r="O86" i="2"/>
  <c r="BD82" i="2"/>
  <c r="F75" i="2"/>
  <c r="M72" i="2"/>
  <c r="M73" i="2" s="1"/>
  <c r="M75" i="2" s="1"/>
  <c r="BB15" i="2"/>
  <c r="BB16" i="2" s="1"/>
  <c r="AY58" i="8"/>
  <c r="AQ210" i="2"/>
  <c r="AV213" i="2" s="1"/>
  <c r="BM109" i="2"/>
  <c r="BM114" i="2" s="1"/>
  <c r="AK140" i="2"/>
  <c r="O196" i="2"/>
  <c r="BB41" i="2"/>
  <c r="BB212" i="2"/>
  <c r="BM212" i="2"/>
  <c r="BM293" i="2" s="1"/>
  <c r="BH212" i="2"/>
  <c r="BH293" i="2" s="1"/>
  <c r="BC213" i="2"/>
  <c r="AT212" i="2"/>
  <c r="AT293" i="2" s="1"/>
  <c r="BB193" i="2"/>
  <c r="BB230" i="2" s="1"/>
  <c r="AE192" i="2"/>
  <c r="AW181" i="2"/>
  <c r="AZ156" i="2"/>
  <c r="BJ155" i="2"/>
  <c r="L151" i="2"/>
  <c r="AN171" i="2"/>
  <c r="AN173" i="2" s="1"/>
  <c r="T171" i="2"/>
  <c r="T173" i="2" s="1"/>
  <c r="Q141" i="2"/>
  <c r="D138" i="2"/>
  <c r="BD86" i="2"/>
  <c r="BM21" i="2"/>
  <c r="L21" i="2"/>
  <c r="AQ179" i="2"/>
  <c r="BC58" i="8"/>
  <c r="BH58" i="8" s="1"/>
  <c r="BM58" i="8" s="1"/>
  <c r="BR58" i="8" s="1"/>
  <c r="BL81" i="2"/>
  <c r="BL82" i="2" s="1"/>
  <c r="M173" i="2"/>
  <c r="R174" i="2" s="1"/>
  <c r="M172" i="2"/>
  <c r="BA173" i="2"/>
  <c r="BF174" i="2" s="1"/>
  <c r="BA176" i="2"/>
  <c r="AU145" i="2"/>
  <c r="AU170" i="2" s="1"/>
  <c r="AT170" i="2"/>
  <c r="AT171" i="2" s="1"/>
  <c r="AT173" i="2" s="1"/>
  <c r="AZ27" i="2"/>
  <c r="AZ287" i="2" s="1"/>
  <c r="AZ16" i="2"/>
  <c r="BE17" i="2" s="1"/>
  <c r="BB81" i="2"/>
  <c r="BB82" i="2" s="1"/>
  <c r="BF81" i="2"/>
  <c r="BE148" i="2"/>
  <c r="BD265" i="2"/>
  <c r="W194" i="2"/>
  <c r="M176" i="2"/>
  <c r="BI164" i="2"/>
  <c r="BJ164" i="2" s="1"/>
  <c r="BL216" i="2"/>
  <c r="BN157" i="2"/>
  <c r="BO157" i="2" s="1"/>
  <c r="AG165" i="2"/>
  <c r="AG167" i="2" s="1"/>
  <c r="AG168" i="2" s="1"/>
  <c r="BN151" i="2"/>
  <c r="BO151" i="2" s="1"/>
  <c r="BN140" i="2"/>
  <c r="BM41" i="2"/>
  <c r="AE126" i="2"/>
  <c r="AB86" i="2"/>
  <c r="AV179" i="2"/>
  <c r="BM186" i="2"/>
  <c r="BM228" i="2" s="1"/>
  <c r="AC41" i="2"/>
  <c r="BE158" i="2"/>
  <c r="BI86" i="2"/>
  <c r="BL161" i="2"/>
  <c r="BL165" i="2" s="1"/>
  <c r="BC291" i="2"/>
  <c r="BC265" i="2"/>
  <c r="Z213" i="2"/>
  <c r="BM193" i="2"/>
  <c r="BM230" i="2" s="1"/>
  <c r="BE185" i="2"/>
  <c r="BG176" i="2"/>
  <c r="BN155" i="2"/>
  <c r="BO155" i="2" s="1"/>
  <c r="AL152" i="2"/>
  <c r="BN148" i="2"/>
  <c r="BN265" i="2" s="1"/>
  <c r="AC126" i="2"/>
  <c r="BC109" i="2"/>
  <c r="BC114" i="2" s="1"/>
  <c r="W114" i="2"/>
  <c r="BB102" i="2"/>
  <c r="BB275" i="2" s="1"/>
  <c r="AC102" i="2"/>
  <c r="AZ86" i="2"/>
  <c r="AR86" i="2"/>
  <c r="AZ20" i="2"/>
  <c r="AM16" i="2"/>
  <c r="AY13" i="2"/>
  <c r="N27" i="8"/>
  <c r="N48" i="8" s="1"/>
  <c r="AL14" i="8"/>
  <c r="BM15" i="2"/>
  <c r="BN109" i="2"/>
  <c r="BN114" i="2" s="1"/>
  <c r="BN126" i="2" s="1"/>
  <c r="BN213" i="2"/>
  <c r="AB28" i="8"/>
  <c r="BE12" i="2"/>
  <c r="AV193" i="2"/>
  <c r="AV230" i="2" s="1"/>
  <c r="AZ186" i="2"/>
  <c r="AZ228" i="2" s="1"/>
  <c r="AZ12" i="2"/>
  <c r="AZ13" i="2" s="1"/>
  <c r="BC21" i="2"/>
  <c r="P21" i="2"/>
  <c r="AL71" i="2"/>
  <c r="AL72" i="2" s="1"/>
  <c r="BL122" i="2"/>
  <c r="BL124" i="2" s="1"/>
  <c r="AO155" i="2"/>
  <c r="AP155" i="2" s="1"/>
  <c r="AZ157" i="2"/>
  <c r="BM179" i="2"/>
  <c r="AO150" i="2"/>
  <c r="AO265" i="2" s="1"/>
  <c r="AM201" i="2"/>
  <c r="AN201" i="2" s="1"/>
  <c r="AO201" i="2" s="1"/>
  <c r="AX27" i="2"/>
  <c r="AB126" i="2"/>
  <c r="AA142" i="2"/>
  <c r="BH170" i="2"/>
  <c r="BH171" i="2" s="1"/>
  <c r="BM171" i="2"/>
  <c r="BM173" i="2" s="1"/>
  <c r="BI192" i="2"/>
  <c r="AT213" i="2"/>
  <c r="AI45" i="8"/>
  <c r="AN4" i="2"/>
  <c r="AN130" i="2" s="1"/>
  <c r="BI179" i="2"/>
  <c r="AQ193" i="2"/>
  <c r="AQ230" i="2" s="1"/>
  <c r="AK124" i="2"/>
  <c r="AD134" i="2"/>
  <c r="BM158" i="2"/>
  <c r="BN158" i="2" s="1"/>
  <c r="AQ202" i="2"/>
  <c r="AQ80" i="2" s="1"/>
  <c r="AS292" i="2"/>
  <c r="BH213" i="2"/>
  <c r="T213" i="2"/>
  <c r="BI212" i="2"/>
  <c r="BI219" i="2" s="1"/>
  <c r="AY212" i="2"/>
  <c r="AY293" i="2" s="1"/>
  <c r="AC212" i="2"/>
  <c r="AC219" i="2" s="1"/>
  <c r="BL212" i="2"/>
  <c r="BL293" i="2" s="1"/>
  <c r="S212" i="2"/>
  <c r="S217" i="2" s="1"/>
  <c r="T82" i="2"/>
  <c r="BJ193" i="2"/>
  <c r="BJ230" i="2" s="1"/>
  <c r="BJ192" i="2"/>
  <c r="AA192" i="2"/>
  <c r="BH190" i="2"/>
  <c r="BE186" i="2"/>
  <c r="BE228" i="2" s="1"/>
  <c r="AM178" i="2"/>
  <c r="AX175" i="2"/>
  <c r="R176" i="2"/>
  <c r="H173" i="2"/>
  <c r="BN156" i="2"/>
  <c r="BO156" i="2" s="1"/>
  <c r="AT161" i="2"/>
  <c r="AA155" i="2"/>
  <c r="AR152" i="2"/>
  <c r="AR165" i="2" s="1"/>
  <c r="BA152" i="2"/>
  <c r="BA216" i="2" s="1"/>
  <c r="AA148" i="2"/>
  <c r="BM144" i="2"/>
  <c r="L144" i="2"/>
  <c r="BN141" i="2"/>
  <c r="BO141" i="2" s="1"/>
  <c r="BN135" i="2"/>
  <c r="W124" i="2"/>
  <c r="D124" i="2"/>
  <c r="D126" i="2" s="1"/>
  <c r="AX124" i="2"/>
  <c r="V126" i="2"/>
  <c r="S126" i="2"/>
  <c r="BP118" i="2"/>
  <c r="BD124" i="2"/>
  <c r="BD126" i="2" s="1"/>
  <c r="BA124" i="2"/>
  <c r="BA195" i="2"/>
  <c r="BA194" i="2"/>
  <c r="H210" i="2"/>
  <c r="I213" i="2" s="1"/>
  <c r="AH102" i="2"/>
  <c r="AH275" i="2" s="1"/>
  <c r="AD102" i="2"/>
  <c r="Y102" i="2"/>
  <c r="BM102" i="2"/>
  <c r="AS102" i="2"/>
  <c r="AS275" i="2" s="1"/>
  <c r="AG102" i="2"/>
  <c r="L102" i="2"/>
  <c r="AF97" i="2"/>
  <c r="AF102" i="2" s="1"/>
  <c r="M97" i="2"/>
  <c r="M102" i="2" s="1"/>
  <c r="AM86" i="2"/>
  <c r="AH86" i="2"/>
  <c r="AD86" i="2"/>
  <c r="Z86" i="2"/>
  <c r="V86" i="2"/>
  <c r="AC86" i="2"/>
  <c r="Y86" i="2"/>
  <c r="AE82" i="2"/>
  <c r="I61" i="2"/>
  <c r="BF86" i="2"/>
  <c r="AX86" i="2"/>
  <c r="D75" i="2"/>
  <c r="L61" i="2"/>
  <c r="BP56" i="2"/>
  <c r="R21" i="2"/>
  <c r="BC6" i="2"/>
  <c r="BC260" i="2" s="1"/>
  <c r="AX6" i="2"/>
  <c r="AX260" i="2" s="1"/>
  <c r="BF261" i="2"/>
  <c r="AQ184" i="2"/>
  <c r="AQ229" i="2" s="1"/>
  <c r="V20" i="8"/>
  <c r="V22" i="8" s="1"/>
  <c r="AD161" i="2"/>
  <c r="BN142" i="2"/>
  <c r="BO142" i="2" s="1"/>
  <c r="H138" i="2"/>
  <c r="M114" i="2"/>
  <c r="W97" i="2"/>
  <c r="AF155" i="2"/>
  <c r="AX17" i="2"/>
  <c r="AR82" i="2"/>
  <c r="AZ192" i="2"/>
  <c r="G150" i="2"/>
  <c r="AV191" i="2"/>
  <c r="BC22" i="2"/>
  <c r="AT22" i="2"/>
  <c r="BF11" i="2"/>
  <c r="BF179" i="2" s="1"/>
  <c r="AZ223" i="2"/>
  <c r="AU82" i="2"/>
  <c r="AR231" i="2"/>
  <c r="BJ186" i="2"/>
  <c r="BJ228" i="2" s="1"/>
  <c r="G144" i="2"/>
  <c r="O126" i="2"/>
  <c r="M210" i="2"/>
  <c r="N213" i="2" s="1"/>
  <c r="H97" i="2"/>
  <c r="H102" i="2" s="1"/>
  <c r="BA182" i="2"/>
  <c r="BH86" i="2"/>
  <c r="AV86" i="2"/>
  <c r="Y82" i="2"/>
  <c r="L39" i="2"/>
  <c r="AJ21" i="2"/>
  <c r="AS22" i="2"/>
  <c r="S20" i="8"/>
  <c r="V145" i="2"/>
  <c r="V170" i="2" s="1"/>
  <c r="BL13" i="2"/>
  <c r="X184" i="2"/>
  <c r="X229" i="2" s="1"/>
  <c r="X231" i="2" s="1"/>
  <c r="L124" i="2"/>
  <c r="AV186" i="2"/>
  <c r="AV228" i="2" s="1"/>
  <c r="AZ185" i="2"/>
  <c r="BI21" i="2"/>
  <c r="AK82" i="2"/>
  <c r="BB109" i="2"/>
  <c r="BB114" i="2" s="1"/>
  <c r="AE175" i="2"/>
  <c r="AH211" i="2"/>
  <c r="AH212" i="2" s="1"/>
  <c r="AH219" i="2" s="1"/>
  <c r="AM265" i="2"/>
  <c r="R28" i="8"/>
  <c r="R29" i="8" s="1"/>
  <c r="AV182" i="2"/>
  <c r="BM191" i="2"/>
  <c r="AE35" i="2"/>
  <c r="AX82" i="2"/>
  <c r="I190" i="2"/>
  <c r="BI145" i="2"/>
  <c r="AV286" i="2"/>
  <c r="BK19" i="2"/>
  <c r="J152" i="2"/>
  <c r="AM89" i="2"/>
  <c r="AS161" i="2"/>
  <c r="AD175" i="2"/>
  <c r="AG81" i="2"/>
  <c r="AG82" i="2" s="1"/>
  <c r="AQ295" i="2"/>
  <c r="BF291" i="2"/>
  <c r="AO231" i="2"/>
  <c r="AS223" i="2"/>
  <c r="AK212" i="2"/>
  <c r="AK217" i="2" s="1"/>
  <c r="BC212" i="2"/>
  <c r="BC293" i="2" s="1"/>
  <c r="AG212" i="2"/>
  <c r="AG293" i="2" s="1"/>
  <c r="BP200" i="2"/>
  <c r="BP201" i="2" s="1"/>
  <c r="BN83" i="2"/>
  <c r="BN82" i="2" s="1"/>
  <c r="BN204" i="2" s="1"/>
  <c r="J196" i="2"/>
  <c r="BH194" i="2"/>
  <c r="BM188" i="2"/>
  <c r="BN164" i="2"/>
  <c r="BO164" i="2" s="1"/>
  <c r="V156" i="2"/>
  <c r="BA161" i="2"/>
  <c r="AF151" i="2"/>
  <c r="K145" i="2"/>
  <c r="K170" i="2" s="1"/>
  <c r="BN143" i="2"/>
  <c r="BO143" i="2" s="1"/>
  <c r="AG124" i="2"/>
  <c r="AF124" i="2"/>
  <c r="E124" i="2"/>
  <c r="E126" i="2" s="1"/>
  <c r="X126" i="2"/>
  <c r="H114" i="2"/>
  <c r="W210" i="2"/>
  <c r="X213" i="2" s="1"/>
  <c r="BD102" i="2"/>
  <c r="BD275" i="2" s="1"/>
  <c r="AY102" i="2"/>
  <c r="AY275" i="2" s="1"/>
  <c r="AL190" i="2"/>
  <c r="W190" i="2"/>
  <c r="U102" i="2"/>
  <c r="U86" i="2"/>
  <c r="BK83" i="2"/>
  <c r="AV83" i="2"/>
  <c r="Z82" i="2"/>
  <c r="AA82" i="2"/>
  <c r="L72" i="2"/>
  <c r="L73" i="2" s="1"/>
  <c r="L75" i="2" s="1"/>
  <c r="BK32" i="2"/>
  <c r="BL185" i="2"/>
  <c r="BP11" i="2"/>
  <c r="BG6" i="2"/>
  <c r="BG260" i="2" s="1"/>
  <c r="BB6" i="2"/>
  <c r="BB271" i="2" s="1"/>
  <c r="AW6" i="2"/>
  <c r="AW260" i="2" s="1"/>
  <c r="AY6" i="2"/>
  <c r="Y22" i="8"/>
  <c r="AH39" i="8"/>
  <c r="W41" i="8"/>
  <c r="BT24" i="8"/>
  <c r="BT25" i="8" s="1"/>
  <c r="BN192" i="2"/>
  <c r="BN136" i="2"/>
  <c r="BO136" i="2" s="1"/>
  <c r="I27" i="8"/>
  <c r="I48" i="8" s="1"/>
  <c r="AG27" i="8"/>
  <c r="AG48" i="8" s="1"/>
  <c r="U27" i="8"/>
  <c r="U48" i="8" s="1"/>
  <c r="T27" i="8"/>
  <c r="T48" i="8" s="1"/>
  <c r="AA22" i="8"/>
  <c r="AE9" i="8"/>
  <c r="BI6" i="2" s="1"/>
  <c r="AE39" i="8"/>
  <c r="R40" i="8"/>
  <c r="AJ11" i="8"/>
  <c r="M46" i="8"/>
  <c r="AH29" i="8"/>
  <c r="Y29" i="8"/>
  <c r="BO24" i="8"/>
  <c r="BO25" i="8" s="1"/>
  <c r="W18" i="8"/>
  <c r="AE13" i="8"/>
  <c r="AE7" i="8" s="1"/>
  <c r="AB24" i="8"/>
  <c r="AJ45" i="8"/>
  <c r="AE10" i="8"/>
  <c r="W25" i="8"/>
  <c r="AD22" i="8"/>
  <c r="Z22" i="8"/>
  <c r="Q45" i="8"/>
  <c r="AB40" i="8"/>
  <c r="AG31" i="8"/>
  <c r="BB32" i="2"/>
  <c r="BF32" i="2" s="1"/>
  <c r="BF34" i="2"/>
  <c r="AL34" i="2"/>
  <c r="AF46" i="8"/>
  <c r="AK46" i="8"/>
  <c r="V46" i="8"/>
  <c r="Y45" i="8"/>
  <c r="J45" i="8"/>
  <c r="AG28" i="8"/>
  <c r="AC29" i="8"/>
  <c r="AA7" i="8"/>
  <c r="AF27" i="8"/>
  <c r="AF48" i="8" s="1"/>
  <c r="AI20" i="8"/>
  <c r="AI10" i="8"/>
  <c r="AL24" i="8"/>
  <c r="AL23" i="8"/>
  <c r="AL21" i="8"/>
  <c r="AL25" i="8"/>
  <c r="AE46" i="8"/>
  <c r="AK45" i="8"/>
  <c r="W34" i="8"/>
  <c r="AI29" i="8"/>
  <c r="AJ39" i="8"/>
  <c r="BA34" i="2"/>
  <c r="AL18" i="8"/>
  <c r="AL17" i="8"/>
  <c r="BJ5" i="2"/>
  <c r="AK9" i="8"/>
  <c r="AK10" i="8"/>
  <c r="AK7" i="8"/>
  <c r="AK11" i="8"/>
  <c r="AV35" i="2"/>
  <c r="AV34" i="2"/>
  <c r="BJ261" i="2"/>
  <c r="AY35" i="2"/>
  <c r="BA35" i="2" s="1"/>
  <c r="AX32" i="2"/>
  <c r="CA181" i="2"/>
  <c r="CB223" i="2"/>
  <c r="BD35" i="8"/>
  <c r="BI35" i="8" s="1"/>
  <c r="BN35" i="8" s="1"/>
  <c r="BS35" i="8" s="1"/>
  <c r="BO83" i="2"/>
  <c r="BO82" i="2" s="1"/>
  <c r="BO204" i="2" s="1"/>
  <c r="AV81" i="2"/>
  <c r="AB81" i="2"/>
  <c r="AB82" i="2" s="1"/>
  <c r="AY82" i="2"/>
  <c r="BJ85" i="2"/>
  <c r="BJ86" i="2" s="1"/>
  <c r="BJ82" i="2"/>
  <c r="V82" i="2"/>
  <c r="Q82" i="2"/>
  <c r="W82" i="2"/>
  <c r="I54" i="2"/>
  <c r="BU113" i="2"/>
  <c r="Y41" i="2"/>
  <c r="Y191" i="2"/>
  <c r="Z134" i="2"/>
  <c r="AA134" i="2" s="1"/>
  <c r="Y190" i="2"/>
  <c r="K196" i="2"/>
  <c r="L160" i="2"/>
  <c r="AX161" i="2"/>
  <c r="AY155" i="2"/>
  <c r="BD291" i="2"/>
  <c r="BE141" i="2"/>
  <c r="AK141" i="2"/>
  <c r="AT291" i="2"/>
  <c r="AU140" i="2"/>
  <c r="J191" i="2"/>
  <c r="J41" i="2"/>
  <c r="J42" i="2" s="1"/>
  <c r="K134" i="2"/>
  <c r="J190" i="2"/>
  <c r="H213" i="2"/>
  <c r="AL105" i="2"/>
  <c r="AL210" i="2" s="1"/>
  <c r="AL212" i="2" s="1"/>
  <c r="BI180" i="2"/>
  <c r="BI22" i="2"/>
  <c r="BN22" i="2"/>
  <c r="AE22" i="8"/>
  <c r="AC13" i="8"/>
  <c r="AR29" i="2"/>
  <c r="AR37" i="2"/>
  <c r="AR287" i="2"/>
  <c r="M29" i="8"/>
  <c r="BU93" i="2"/>
  <c r="BH287" i="2"/>
  <c r="AV176" i="2"/>
  <c r="AV173" i="2"/>
  <c r="AV174" i="2" s="1"/>
  <c r="AH176" i="2"/>
  <c r="AH173" i="2"/>
  <c r="AH174" i="2" s="1"/>
  <c r="AB173" i="2"/>
  <c r="AB174" i="2" s="1"/>
  <c r="AA160" i="2"/>
  <c r="Z196" i="2"/>
  <c r="Z175" i="2"/>
  <c r="E138" i="2"/>
  <c r="BD128" i="2"/>
  <c r="AQ81" i="2"/>
  <c r="AM81" i="2"/>
  <c r="AM82" i="2" s="1"/>
  <c r="H75" i="2"/>
  <c r="H54" i="2"/>
  <c r="BD155" i="2"/>
  <c r="BE155" i="2" s="1"/>
  <c r="BC161" i="2"/>
  <c r="AS152" i="2"/>
  <c r="E41" i="2"/>
  <c r="E42" i="2" s="1"/>
  <c r="F134" i="2"/>
  <c r="F41" i="2" s="1"/>
  <c r="F42" i="2" s="1"/>
  <c r="AH126" i="2"/>
  <c r="I181" i="2"/>
  <c r="I223" i="2"/>
  <c r="BG180" i="2"/>
  <c r="AU201" i="2"/>
  <c r="BB231" i="2"/>
  <c r="AW174" i="2"/>
  <c r="AA157" i="2"/>
  <c r="AA202" i="2" s="1"/>
  <c r="AA80" i="2" s="1"/>
  <c r="Z202" i="2"/>
  <c r="Z80" i="2" s="1"/>
  <c r="AT292" i="2"/>
  <c r="AT188" i="2"/>
  <c r="AT189" i="2"/>
  <c r="Z188" i="2"/>
  <c r="L148" i="2"/>
  <c r="K265" i="2"/>
  <c r="AX191" i="2"/>
  <c r="AX41" i="2"/>
  <c r="AY134" i="2"/>
  <c r="AZ134" i="2" s="1"/>
  <c r="AX190" i="2"/>
  <c r="BG86" i="2"/>
  <c r="AY86" i="2"/>
  <c r="AM287" i="2"/>
  <c r="AM28" i="2"/>
  <c r="AM37" i="2"/>
  <c r="BD16" i="2"/>
  <c r="BD27" i="2"/>
  <c r="BD287" i="2" s="1"/>
  <c r="S21" i="8"/>
  <c r="AP231" i="2"/>
  <c r="AG176" i="2"/>
  <c r="L155" i="2"/>
  <c r="Y15" i="8"/>
  <c r="Y7" i="8"/>
  <c r="AW82" i="2"/>
  <c r="AP157" i="2"/>
  <c r="AY265" i="2"/>
  <c r="AN89" i="2"/>
  <c r="J138" i="2"/>
  <c r="AA39" i="8"/>
  <c r="Z27" i="8"/>
  <c r="Z48" i="8" s="1"/>
  <c r="R68" i="8"/>
  <c r="R76" i="8" s="1"/>
  <c r="R21" i="8" s="1"/>
  <c r="R22" i="8" s="1"/>
  <c r="AQ12" i="2"/>
  <c r="AF11" i="8"/>
  <c r="O21" i="2"/>
  <c r="BB20" i="2"/>
  <c r="BG22" i="2" s="1"/>
  <c r="I41" i="2"/>
  <c r="I42" i="2" s="1"/>
  <c r="AS82" i="2"/>
  <c r="AP92" i="2"/>
  <c r="K126" i="2"/>
  <c r="AK135" i="2"/>
  <c r="E152" i="2"/>
  <c r="AM161" i="2"/>
  <c r="AJ158" i="2"/>
  <c r="AK158" i="2" s="1"/>
  <c r="AR191" i="2"/>
  <c r="Y11" i="8"/>
  <c r="W31" i="8"/>
  <c r="BF184" i="2"/>
  <c r="BF229" i="2" s="1"/>
  <c r="AF144" i="2"/>
  <c r="AG6" i="8"/>
  <c r="M40" i="8"/>
  <c r="AG41" i="8"/>
  <c r="AE33" i="2"/>
  <c r="AU86" i="2"/>
  <c r="AX109" i="2"/>
  <c r="AX114" i="2" s="1"/>
  <c r="I191" i="2"/>
  <c r="AW191" i="2"/>
  <c r="BI134" i="2"/>
  <c r="BE137" i="2"/>
  <c r="AO145" i="2"/>
  <c r="L150" i="2"/>
  <c r="AH152" i="2"/>
  <c r="AH165" i="2" s="1"/>
  <c r="BE164" i="2"/>
  <c r="X15" i="8"/>
  <c r="BK11" i="2"/>
  <c r="K149" i="2"/>
  <c r="AE149" i="2"/>
  <c r="AE171" i="2" s="1"/>
  <c r="G27" i="8"/>
  <c r="G48" i="8" s="1"/>
  <c r="AG18" i="8"/>
  <c r="AG13" i="8" s="1"/>
  <c r="AV9" i="2"/>
  <c r="BD193" i="2"/>
  <c r="BD230" i="2" s="1"/>
  <c r="BD179" i="2"/>
  <c r="BI12" i="2"/>
  <c r="BN13" i="2" s="1"/>
  <c r="M211" i="2"/>
  <c r="W193" i="2"/>
  <c r="W230" i="2" s="1"/>
  <c r="S152" i="2"/>
  <c r="J202" i="2"/>
  <c r="AN175" i="2"/>
  <c r="BI292" i="2"/>
  <c r="AN292" i="2"/>
  <c r="BA286" i="2"/>
  <c r="BA257" i="2"/>
  <c r="BE231" i="2"/>
  <c r="AM231" i="2"/>
  <c r="AY223" i="2"/>
  <c r="AD213" i="2"/>
  <c r="O213" i="2"/>
  <c r="AZ212" i="2"/>
  <c r="AZ293" i="2" s="1"/>
  <c r="AR212" i="2"/>
  <c r="AX211" i="2"/>
  <c r="AX212" i="2" s="1"/>
  <c r="AX293" i="2" s="1"/>
  <c r="W211" i="2"/>
  <c r="N212" i="2"/>
  <c r="N217" i="2" s="1"/>
  <c r="V212" i="2"/>
  <c r="J212" i="2"/>
  <c r="J217" i="2" s="1"/>
  <c r="K215" i="2" s="1"/>
  <c r="Y202" i="2"/>
  <c r="Y80" i="2" s="1"/>
  <c r="AD196" i="2"/>
  <c r="AN194" i="2"/>
  <c r="BL193" i="2"/>
  <c r="BL230" i="2" s="1"/>
  <c r="AY193" i="2"/>
  <c r="AY230" i="2" s="1"/>
  <c r="BB192" i="2"/>
  <c r="AL191" i="2"/>
  <c r="R191" i="2"/>
  <c r="AM190" i="2"/>
  <c r="AQ189" i="2"/>
  <c r="BH188" i="2"/>
  <c r="BG186" i="2"/>
  <c r="BG228" i="2" s="1"/>
  <c r="AY186" i="2"/>
  <c r="AY228" i="2" s="1"/>
  <c r="BG185" i="2"/>
  <c r="AY185" i="2"/>
  <c r="BA184" i="2"/>
  <c r="BA229" i="2" s="1"/>
  <c r="BD180" i="2"/>
  <c r="AR180" i="2"/>
  <c r="BL179" i="2"/>
  <c r="I176" i="2"/>
  <c r="AR176" i="2"/>
  <c r="S176" i="2"/>
  <c r="H172" i="2"/>
  <c r="Y170" i="2"/>
  <c r="Y171" i="2" s="1"/>
  <c r="Y173" i="2" s="1"/>
  <c r="I173" i="2"/>
  <c r="N174" i="2" s="1"/>
  <c r="BG161" i="2"/>
  <c r="BG165" i="2" s="1"/>
  <c r="K159" i="2"/>
  <c r="L159" i="2" s="1"/>
  <c r="AJ157" i="2"/>
  <c r="AJ202" i="2" s="1"/>
  <c r="AJ80" i="2" s="1"/>
  <c r="CE265" i="2"/>
  <c r="BE150" i="2"/>
  <c r="AZ150" i="2"/>
  <c r="AZ265" i="2" s="1"/>
  <c r="AI150" i="2"/>
  <c r="AI152" i="2" s="1"/>
  <c r="Y150" i="2"/>
  <c r="Z150" i="2" s="1"/>
  <c r="Z265" i="2" s="1"/>
  <c r="H152" i="2"/>
  <c r="AU149" i="2"/>
  <c r="AP149" i="2"/>
  <c r="AA149" i="2"/>
  <c r="V149" i="2"/>
  <c r="BP265" i="2"/>
  <c r="AI144" i="2"/>
  <c r="AJ144" i="2" s="1"/>
  <c r="AK144" i="2" s="1"/>
  <c r="I138" i="2"/>
  <c r="BE136" i="2"/>
  <c r="R122" i="2"/>
  <c r="R124" i="2" s="1"/>
  <c r="Y126" i="2"/>
  <c r="H124" i="2"/>
  <c r="BM117" i="2"/>
  <c r="BO117" i="2" s="1"/>
  <c r="AY124" i="2"/>
  <c r="AV124" i="2"/>
  <c r="BF194" i="2"/>
  <c r="X102" i="2"/>
  <c r="BK190" i="2"/>
  <c r="AK102" i="2"/>
  <c r="AK275" i="2" s="1"/>
  <c r="D102" i="2"/>
  <c r="W186" i="2"/>
  <c r="W228" i="2" s="1"/>
  <c r="AP86" i="2"/>
  <c r="AT82" i="2"/>
  <c r="BK77" i="2"/>
  <c r="K48" i="2"/>
  <c r="K50" i="2" s="1"/>
  <c r="K52" i="2" s="1"/>
  <c r="K223" i="2" s="1"/>
  <c r="K224" i="2" s="1"/>
  <c r="M39" i="2"/>
  <c r="AT27" i="2"/>
  <c r="BH22" i="2"/>
  <c r="AR16" i="2"/>
  <c r="BG15" i="2"/>
  <c r="AQ15" i="2"/>
  <c r="AQ16" i="2" s="1"/>
  <c r="W77" i="8"/>
  <c r="W85" i="8" s="1"/>
  <c r="Y46" i="8"/>
  <c r="K45" i="8"/>
  <c r="I45" i="8"/>
  <c r="AD29" i="8"/>
  <c r="U39" i="8"/>
  <c r="AZ24" i="8"/>
  <c r="AZ25" i="8" s="1"/>
  <c r="AD9" i="8"/>
  <c r="X6" i="8"/>
  <c r="AC9" i="8" s="1"/>
  <c r="W27" i="8"/>
  <c r="W48" i="8" s="1"/>
  <c r="AQ35" i="2"/>
  <c r="X194" i="2"/>
  <c r="AE45" i="8"/>
  <c r="O39" i="8"/>
  <c r="BA105" i="2"/>
  <c r="BA210" i="2" s="1"/>
  <c r="BB213" i="2" s="1"/>
  <c r="AA117" i="2"/>
  <c r="AA124" i="2" s="1"/>
  <c r="BC152" i="2"/>
  <c r="K157" i="2"/>
  <c r="K202" i="2" s="1"/>
  <c r="G163" i="2"/>
  <c r="AG191" i="2"/>
  <c r="L140" i="2"/>
  <c r="AU144" i="2"/>
  <c r="AW32" i="2"/>
  <c r="AX188" i="2"/>
  <c r="BD12" i="2"/>
  <c r="BD13" i="2" s="1"/>
  <c r="AG109" i="2"/>
  <c r="AG114" i="2" s="1"/>
  <c r="T150" i="2"/>
  <c r="J175" i="2"/>
  <c r="J265" i="2"/>
  <c r="BI213" i="2"/>
  <c r="AS213" i="2"/>
  <c r="BA200" i="2"/>
  <c r="AY192" i="2"/>
  <c r="AN231" i="2"/>
  <c r="AA186" i="2"/>
  <c r="AA228" i="2" s="1"/>
  <c r="AY179" i="2"/>
  <c r="AB176" i="2"/>
  <c r="L142" i="2"/>
  <c r="AU141" i="2"/>
  <c r="AT124" i="2"/>
  <c r="AJ126" i="2"/>
  <c r="AQ109" i="2"/>
  <c r="AQ114" i="2" s="1"/>
  <c r="BE102" i="2"/>
  <c r="BE275" i="2" s="1"/>
  <c r="P102" i="2"/>
  <c r="G102" i="2"/>
  <c r="BC86" i="2"/>
  <c r="X82" i="2"/>
  <c r="BF50" i="2"/>
  <c r="BH6" i="2"/>
  <c r="BH260" i="2" s="1"/>
  <c r="AA46" i="8"/>
  <c r="AB34" i="8"/>
  <c r="K29" i="8"/>
  <c r="AC25" i="8"/>
  <c r="AC20" i="8" s="1"/>
  <c r="J126" i="2"/>
  <c r="AQ86" i="2"/>
  <c r="AK114" i="2"/>
  <c r="AN178" i="2"/>
  <c r="BA83" i="2"/>
  <c r="S39" i="8"/>
  <c r="BD145" i="2"/>
  <c r="BD170" i="2" s="1"/>
  <c r="AZ32" i="2"/>
  <c r="BL174" i="2"/>
  <c r="AW190" i="2"/>
  <c r="AU136" i="2"/>
  <c r="AK151" i="2"/>
  <c r="P160" i="2"/>
  <c r="Q160" i="2" s="1"/>
  <c r="R6" i="8"/>
  <c r="AG35" i="2"/>
  <c r="AF163" i="2"/>
  <c r="M18" i="8"/>
  <c r="BD192" i="2"/>
  <c r="BI186" i="2"/>
  <c r="BI228" i="2" s="1"/>
  <c r="BI231" i="2" s="1"/>
  <c r="BI15" i="2"/>
  <c r="AL265" i="2"/>
  <c r="BG216" i="2"/>
  <c r="K213" i="2"/>
  <c r="BE213" i="2"/>
  <c r="BA191" i="2"/>
  <c r="N191" i="2"/>
  <c r="BA189" i="2"/>
  <c r="AS231" i="2"/>
  <c r="AC161" i="2"/>
  <c r="AC165" i="2" s="1"/>
  <c r="Q148" i="2"/>
  <c r="F145" i="2"/>
  <c r="G145" i="2" s="1"/>
  <c r="AK142" i="2"/>
  <c r="AU137" i="2"/>
  <c r="V137" i="2"/>
  <c r="AS134" i="2"/>
  <c r="AN134" i="2"/>
  <c r="AN191" i="2" s="1"/>
  <c r="AU102" i="2"/>
  <c r="AU275" i="2" s="1"/>
  <c r="AS86" i="2"/>
  <c r="J61" i="2"/>
  <c r="X41" i="8"/>
  <c r="X46" i="8" s="1"/>
  <c r="AH45" i="8"/>
  <c r="X45" i="8"/>
  <c r="Y39" i="8"/>
  <c r="W28" i="8"/>
  <c r="Z11" i="8"/>
  <c r="W6" i="8"/>
  <c r="BN21" i="2"/>
  <c r="X183" i="2"/>
  <c r="AF109" i="2"/>
  <c r="AF114" i="2" s="1"/>
  <c r="AB19" i="8"/>
  <c r="AA15" i="8"/>
  <c r="AG36" i="8"/>
  <c r="AA45" i="8"/>
  <c r="BL15" i="2"/>
  <c r="BL27" i="2" s="1"/>
  <c r="BA11" i="2"/>
  <c r="BA193" i="2" s="1"/>
  <c r="BA230" i="2" s="1"/>
  <c r="AU22" i="2"/>
  <c r="AG41" i="2"/>
  <c r="CK80" i="2"/>
  <c r="BP100" i="2"/>
  <c r="X41" i="2"/>
  <c r="P150" i="2"/>
  <c r="P265" i="2" s="1"/>
  <c r="BH152" i="2"/>
  <c r="BH216" i="2" s="1"/>
  <c r="AE202" i="2"/>
  <c r="AE80" i="2" s="1"/>
  <c r="AF160" i="2"/>
  <c r="BB216" i="2"/>
  <c r="AO223" i="2"/>
  <c r="BA265" i="2"/>
  <c r="R31" i="8"/>
  <c r="BM185" i="2"/>
  <c r="I39" i="2"/>
  <c r="G158" i="2"/>
  <c r="AQ174" i="2"/>
  <c r="M42" i="2"/>
  <c r="AY149" i="2"/>
  <c r="H40" i="8"/>
  <c r="AB18" i="8"/>
  <c r="BD186" i="2"/>
  <c r="BD228" i="2" s="1"/>
  <c r="BI185" i="2"/>
  <c r="AX292" i="2"/>
  <c r="BM265" i="2"/>
  <c r="BF265" i="2"/>
  <c r="O265" i="2"/>
  <c r="AI213" i="2"/>
  <c r="P212" i="2"/>
  <c r="P217" i="2" s="1"/>
  <c r="BM213" i="2"/>
  <c r="O212" i="2"/>
  <c r="O217" i="2" s="1"/>
  <c r="AY194" i="2"/>
  <c r="AE193" i="2"/>
  <c r="AE230" i="2" s="1"/>
  <c r="X191" i="2"/>
  <c r="N190" i="2"/>
  <c r="AS189" i="2"/>
  <c r="AO188" i="2"/>
  <c r="Y188" i="2"/>
  <c r="BA187" i="2"/>
  <c r="AW186" i="2"/>
  <c r="AW228" i="2" s="1"/>
  <c r="AW231" i="2" s="1"/>
  <c r="CJ181" i="2"/>
  <c r="AN180" i="2"/>
  <c r="X176" i="2"/>
  <c r="N176" i="2"/>
  <c r="S161" i="2"/>
  <c r="G160" i="2"/>
  <c r="P159" i="2"/>
  <c r="Q159" i="2" s="1"/>
  <c r="AU158" i="2"/>
  <c r="Q157" i="2"/>
  <c r="Q202" i="2" s="1"/>
  <c r="Q80" i="2" s="1"/>
  <c r="AO156" i="2"/>
  <c r="AP156" i="2" s="1"/>
  <c r="T155" i="2"/>
  <c r="T161" i="2" s="1"/>
  <c r="AV152" i="2"/>
  <c r="AV216" i="2" s="1"/>
  <c r="G151" i="2"/>
  <c r="W152" i="2"/>
  <c r="H191" i="2"/>
  <c r="AM126" i="2"/>
  <c r="AS124" i="2"/>
  <c r="AS126" i="2" s="1"/>
  <c r="P124" i="2"/>
  <c r="P126" i="2" s="1"/>
  <c r="BF195" i="2"/>
  <c r="F126" i="2"/>
  <c r="BC102" i="2"/>
  <c r="AM102" i="2"/>
  <c r="Z102" i="2"/>
  <c r="K102" i="2"/>
  <c r="K128" i="2" s="1"/>
  <c r="AQ187" i="2"/>
  <c r="R97" i="2"/>
  <c r="AN86" i="2"/>
  <c r="AI86" i="2"/>
  <c r="AE86" i="2"/>
  <c r="AA86" i="2"/>
  <c r="W86" i="2"/>
  <c r="S86" i="2"/>
  <c r="AN82" i="2"/>
  <c r="AC82" i="2"/>
  <c r="U82" i="2"/>
  <c r="G75" i="2"/>
  <c r="E75" i="2"/>
  <c r="BK50" i="2"/>
  <c r="AQ34" i="2"/>
  <c r="BD21" i="2"/>
  <c r="AY15" i="2"/>
  <c r="BA9" i="2"/>
  <c r="BA6" i="2" s="1"/>
  <c r="AZ41" i="8"/>
  <c r="BE41" i="8" s="1"/>
  <c r="BJ41" i="8" s="1"/>
  <c r="BO41" i="8" s="1"/>
  <c r="BT41" i="8" s="1"/>
  <c r="AJ46" i="8"/>
  <c r="W40" i="8"/>
  <c r="N45" i="8"/>
  <c r="AL36" i="8"/>
  <c r="AB31" i="8"/>
  <c r="V27" i="8"/>
  <c r="V48" i="8" s="1"/>
  <c r="X25" i="8"/>
  <c r="X20" i="8" s="1"/>
  <c r="X22" i="8" s="1"/>
  <c r="T20" i="8"/>
  <c r="T22" i="8" s="1"/>
  <c r="Z15" i="8"/>
  <c r="Z7" i="8"/>
  <c r="R18" i="8"/>
  <c r="S27" i="8"/>
  <c r="S48" i="8" s="1"/>
  <c r="BM12" i="2"/>
  <c r="J75" i="2"/>
  <c r="CT181" i="2"/>
  <c r="CO223" i="2"/>
  <c r="CJ223" i="2"/>
  <c r="L223" i="2"/>
  <c r="L224" i="2" s="1"/>
  <c r="M181" i="2"/>
  <c r="M223" i="2"/>
  <c r="BA72" i="2"/>
  <c r="K54" i="2"/>
  <c r="K75" i="2"/>
  <c r="M54" i="2"/>
  <c r="AE72" i="2"/>
  <c r="AJ29" i="8"/>
  <c r="G148" i="2"/>
  <c r="P188" i="2"/>
  <c r="BH17" i="2"/>
  <c r="U144" i="2"/>
  <c r="V144" i="2" s="1"/>
  <c r="L156" i="2"/>
  <c r="AU231" i="2"/>
  <c r="AY213" i="2"/>
  <c r="Q212" i="2"/>
  <c r="Q213" i="2"/>
  <c r="AL174" i="2"/>
  <c r="AC174" i="2"/>
  <c r="AI196" i="2"/>
  <c r="AI175" i="2"/>
  <c r="AJ160" i="2"/>
  <c r="AI161" i="2"/>
  <c r="U160" i="2"/>
  <c r="V160" i="2" s="1"/>
  <c r="T196" i="2"/>
  <c r="T175" i="2"/>
  <c r="BH161" i="2"/>
  <c r="BI158" i="2"/>
  <c r="BJ158" i="2" s="1"/>
  <c r="AN161" i="2"/>
  <c r="AV161" i="2"/>
  <c r="AU155" i="2"/>
  <c r="H161" i="2"/>
  <c r="BI135" i="2"/>
  <c r="BJ135" i="2" s="1"/>
  <c r="AB41" i="2"/>
  <c r="AB191" i="2"/>
  <c r="AB190" i="2"/>
  <c r="T134" i="2"/>
  <c r="U134" i="2" s="1"/>
  <c r="S41" i="2"/>
  <c r="S190" i="2"/>
  <c r="S191" i="2"/>
  <c r="AD126" i="2"/>
  <c r="AD219" i="2"/>
  <c r="AY126" i="2"/>
  <c r="AQ124" i="2"/>
  <c r="Q114" i="2"/>
  <c r="Q126" i="2" s="1"/>
  <c r="R109" i="2"/>
  <c r="R114" i="2" s="1"/>
  <c r="BL109" i="2"/>
  <c r="BG109" i="2"/>
  <c r="BG114" i="2" s="1"/>
  <c r="BG126" i="2" s="1"/>
  <c r="BG194" i="2"/>
  <c r="BG275" i="2"/>
  <c r="AV108" i="2"/>
  <c r="AV92" i="2" s="1"/>
  <c r="AU109" i="2"/>
  <c r="AU194" i="2"/>
  <c r="AE215" i="2"/>
  <c r="V213" i="2"/>
  <c r="U213" i="2"/>
  <c r="U212" i="2"/>
  <c r="U217" i="2" s="1"/>
  <c r="I212" i="2"/>
  <c r="J213" i="2"/>
  <c r="BI205" i="2"/>
  <c r="BJ205" i="2" s="1"/>
  <c r="BL205" i="2" s="1"/>
  <c r="BA80" i="2"/>
  <c r="P156" i="2"/>
  <c r="O161" i="2"/>
  <c r="BD149" i="2"/>
  <c r="BC189" i="2"/>
  <c r="BC188" i="2"/>
  <c r="BC292" i="2"/>
  <c r="AI188" i="2"/>
  <c r="AI292" i="2"/>
  <c r="AJ149" i="2"/>
  <c r="O171" i="2"/>
  <c r="O152" i="2"/>
  <c r="O188" i="2"/>
  <c r="Q149" i="2"/>
  <c r="BJ148" i="2"/>
  <c r="BI265" i="2"/>
  <c r="BI152" i="2"/>
  <c r="BH144" i="2"/>
  <c r="BG291" i="2"/>
  <c r="AX144" i="2"/>
  <c r="AW291" i="2"/>
  <c r="AA143" i="2"/>
  <c r="AE141" i="2"/>
  <c r="AF141" i="2" s="1"/>
  <c r="AP140" i="2"/>
  <c r="P140" i="2"/>
  <c r="Q140" i="2" s="1"/>
  <c r="F137" i="2"/>
  <c r="G137" i="2" s="1"/>
  <c r="AY136" i="2"/>
  <c r="BH124" i="2"/>
  <c r="AD13" i="8"/>
  <c r="AL35" i="2"/>
  <c r="Z170" i="2"/>
  <c r="Z171" i="2" s="1"/>
  <c r="AX213" i="2"/>
  <c r="BF35" i="2"/>
  <c r="AN213" i="2"/>
  <c r="Y212" i="2"/>
  <c r="Y213" i="2"/>
  <c r="L213" i="2"/>
  <c r="L212" i="2"/>
  <c r="AV196" i="2"/>
  <c r="AM176" i="2"/>
  <c r="U157" i="2"/>
  <c r="V157" i="2" s="1"/>
  <c r="T202" i="2"/>
  <c r="AV187" i="2"/>
  <c r="AL185" i="2"/>
  <c r="AL186" i="2"/>
  <c r="AL228" i="2" s="1"/>
  <c r="AL97" i="2"/>
  <c r="AL102" i="2" s="1"/>
  <c r="BF83" i="2"/>
  <c r="BC82" i="2"/>
  <c r="BC171" i="2"/>
  <c r="AU212" i="2"/>
  <c r="AJ213" i="2"/>
  <c r="AJ212" i="2"/>
  <c r="S219" i="2"/>
  <c r="CD205" i="2"/>
  <c r="CF205" i="2" s="1"/>
  <c r="BB176" i="2"/>
  <c r="P164" i="2"/>
  <c r="Q164" i="2" s="1"/>
  <c r="Y158" i="2"/>
  <c r="Z158" i="2" s="1"/>
  <c r="Z161" i="2" s="1"/>
  <c r="M190" i="2"/>
  <c r="M191" i="2"/>
  <c r="M138" i="2"/>
  <c r="BK121" i="2"/>
  <c r="BJ122" i="2"/>
  <c r="BK122" i="2" s="1"/>
  <c r="BF121" i="2"/>
  <c r="BF124" i="2" s="1"/>
  <c r="BE124" i="2"/>
  <c r="R101" i="2"/>
  <c r="Q102" i="2"/>
  <c r="AS32" i="2"/>
  <c r="P213" i="2"/>
  <c r="BD212" i="2"/>
  <c r="AK213" i="2"/>
  <c r="W174" i="2"/>
  <c r="U159" i="2"/>
  <c r="V159" i="2" s="1"/>
  <c r="I161" i="2"/>
  <c r="I165" i="2" s="1"/>
  <c r="J158" i="2"/>
  <c r="J161" i="2" s="1"/>
  <c r="T151" i="2"/>
  <c r="U151" i="2" s="1"/>
  <c r="AY142" i="2"/>
  <c r="AZ142" i="2" s="1"/>
  <c r="F141" i="2"/>
  <c r="G141" i="2" s="1"/>
  <c r="BI137" i="2"/>
  <c r="BJ137" i="2" s="1"/>
  <c r="AL41" i="2"/>
  <c r="M124" i="2"/>
  <c r="AO118" i="2"/>
  <c r="AO124" i="2" s="1"/>
  <c r="AN124" i="2"/>
  <c r="AB102" i="2"/>
  <c r="AA100" i="2"/>
  <c r="W100" i="2"/>
  <c r="V102" i="2"/>
  <c r="BA92" i="2"/>
  <c r="Z164" i="2"/>
  <c r="AA164" i="2" s="1"/>
  <c r="AZ158" i="2"/>
  <c r="E155" i="2"/>
  <c r="E161" i="2" s="1"/>
  <c r="X152" i="2"/>
  <c r="Y151" i="2"/>
  <c r="P151" i="2"/>
  <c r="BI140" i="2"/>
  <c r="BJ140" i="2" s="1"/>
  <c r="P136" i="2"/>
  <c r="Q136" i="2" s="1"/>
  <c r="AO135" i="2"/>
  <c r="AP135" i="2" s="1"/>
  <c r="F164" i="2"/>
  <c r="G164" i="2" s="1"/>
  <c r="F156" i="2"/>
  <c r="G156" i="2" s="1"/>
  <c r="R161" i="2"/>
  <c r="R165" i="2" s="1"/>
  <c r="Q155" i="2"/>
  <c r="BM189" i="2"/>
  <c r="BN149" i="2"/>
  <c r="BO149" i="2" s="1"/>
  <c r="BO189" i="2" s="1"/>
  <c r="BM152" i="2"/>
  <c r="F149" i="2"/>
  <c r="G149" i="2" s="1"/>
  <c r="AX170" i="2"/>
  <c r="AX171" i="2" s="1"/>
  <c r="AY145" i="2"/>
  <c r="AZ145" i="2" s="1"/>
  <c r="AI171" i="2"/>
  <c r="AS291" i="2"/>
  <c r="F140" i="2"/>
  <c r="G140" i="2" s="1"/>
  <c r="AO136" i="2"/>
  <c r="AP136" i="2" s="1"/>
  <c r="U135" i="2"/>
  <c r="V135" i="2" s="1"/>
  <c r="F4" i="2"/>
  <c r="E89" i="2"/>
  <c r="E130" i="2"/>
  <c r="AH46" i="8"/>
  <c r="AE158" i="2"/>
  <c r="AF158" i="2" s="1"/>
  <c r="AA97" i="2"/>
  <c r="BH82" i="2"/>
  <c r="U46" i="8"/>
  <c r="Z46" i="8"/>
  <c r="Z29" i="8"/>
  <c r="Z39" i="8"/>
  <c r="Q39" i="8"/>
  <c r="Q29" i="8"/>
  <c r="AB27" i="8"/>
  <c r="AB48" i="8" s="1"/>
  <c r="Y27" i="8"/>
  <c r="Y48" i="8" s="1"/>
  <c r="H27" i="8"/>
  <c r="H48" i="8" s="1"/>
  <c r="P158" i="2"/>
  <c r="Q158" i="2" s="1"/>
  <c r="AX151" i="2"/>
  <c r="BJ149" i="2"/>
  <c r="AF145" i="2"/>
  <c r="AP143" i="2"/>
  <c r="V143" i="2"/>
  <c r="Q142" i="2"/>
  <c r="AZ141" i="2"/>
  <c r="AA141" i="2"/>
  <c r="AA140" i="2"/>
  <c r="AA137" i="2"/>
  <c r="BJ136" i="2"/>
  <c r="AK136" i="2"/>
  <c r="AZ124" i="2"/>
  <c r="BK109" i="2"/>
  <c r="BK114" i="2" s="1"/>
  <c r="AZ102" i="2"/>
  <c r="AT102" i="2"/>
  <c r="AN102" i="2"/>
  <c r="S102" i="2"/>
  <c r="F102" i="2"/>
  <c r="BA86" i="2"/>
  <c r="AT86" i="2"/>
  <c r="AG86" i="2"/>
  <c r="Q86" i="2"/>
  <c r="AV71" i="2"/>
  <c r="AT72" i="2"/>
  <c r="M61" i="2"/>
  <c r="BA25" i="2"/>
  <c r="BL20" i="2"/>
  <c r="BL21" i="2"/>
  <c r="AF13" i="8"/>
  <c r="BM196" i="2"/>
  <c r="BN160" i="2"/>
  <c r="BO160" i="2" s="1"/>
  <c r="BO196" i="2" s="1"/>
  <c r="BN145" i="2"/>
  <c r="BN134" i="2"/>
  <c r="BN41" i="2" s="1"/>
  <c r="BM190" i="2"/>
  <c r="O134" i="2"/>
  <c r="U126" i="2"/>
  <c r="J102" i="2"/>
  <c r="AO86" i="2"/>
  <c r="BE82" i="2"/>
  <c r="AJ82" i="2"/>
  <c r="AL83" i="2"/>
  <c r="CB181" i="2"/>
  <c r="AR28" i="2"/>
  <c r="AX41" i="8"/>
  <c r="BC41" i="8" s="1"/>
  <c r="BH41" i="8" s="1"/>
  <c r="BM41" i="8" s="1"/>
  <c r="BR41" i="8" s="1"/>
  <c r="AI46" i="8"/>
  <c r="BI81" i="2"/>
  <c r="BI82" i="2" s="1"/>
  <c r="BF84" i="2"/>
  <c r="H48" i="2"/>
  <c r="H50" i="2" s="1"/>
  <c r="H52" i="2" s="1"/>
  <c r="CO35" i="2"/>
  <c r="CT35" i="2" s="1"/>
  <c r="CY35" i="2" s="1"/>
  <c r="BC27" i="2"/>
  <c r="AU27" i="2"/>
  <c r="AN27" i="2"/>
  <c r="AW22" i="2"/>
  <c r="BE20" i="2"/>
  <c r="BJ21" i="2"/>
  <c r="AX12" i="2"/>
  <c r="AX13" i="2" s="1"/>
  <c r="R79" i="8"/>
  <c r="R86" i="8" s="1"/>
  <c r="W79" i="8"/>
  <c r="W86" i="8" s="1"/>
  <c r="T46" i="8"/>
  <c r="AA11" i="8"/>
  <c r="X27" i="8"/>
  <c r="X48" i="8" s="1"/>
  <c r="I19" i="2"/>
  <c r="AC45" i="8"/>
  <c r="AE11" i="8"/>
  <c r="AO27" i="2"/>
  <c r="BC12" i="2"/>
  <c r="AW15" i="2"/>
  <c r="AW12" i="2"/>
  <c r="BF9" i="2"/>
  <c r="V29" i="8"/>
  <c r="BD25" i="8"/>
  <c r="BE24" i="8"/>
  <c r="BE25" i="8" s="1"/>
  <c r="AF22" i="8"/>
  <c r="AI9" i="8"/>
  <c r="AI11" i="8"/>
  <c r="AH10" i="8"/>
  <c r="AH9" i="8"/>
  <c r="AH11" i="8"/>
  <c r="AJ10" i="8"/>
  <c r="CW202" i="2"/>
  <c r="CU80" i="2"/>
  <c r="CP80" i="2"/>
  <c r="CQ202" i="2"/>
  <c r="CL80" i="2"/>
  <c r="CM202" i="2"/>
  <c r="CN202" i="2" s="1"/>
  <c r="CN192" i="2"/>
  <c r="CS192" i="2" s="1"/>
  <c r="CX192" i="2" s="1"/>
  <c r="CK56" i="2"/>
  <c r="BU56" i="2"/>
  <c r="CE56" i="2"/>
  <c r="AN7" i="8"/>
  <c r="BU100" i="2"/>
  <c r="O176" i="2" l="1"/>
  <c r="BD58" i="8"/>
  <c r="BI58" i="8" s="1"/>
  <c r="BN58" i="8" s="1"/>
  <c r="BS58" i="8" s="1"/>
  <c r="AS287" i="2"/>
  <c r="AN176" i="2"/>
  <c r="K181" i="2"/>
  <c r="AR216" i="2"/>
  <c r="AL126" i="2"/>
  <c r="M224" i="2"/>
  <c r="BA201" i="2"/>
  <c r="BG231" i="2"/>
  <c r="AL46" i="8"/>
  <c r="BE291" i="2"/>
  <c r="AJ22" i="8"/>
  <c r="X217" i="2"/>
  <c r="AZ17" i="2"/>
  <c r="AE217" i="2"/>
  <c r="AF215" i="2" s="1"/>
  <c r="AF216" i="2" s="1"/>
  <c r="R126" i="2"/>
  <c r="T128" i="2"/>
  <c r="AE15" i="2"/>
  <c r="AE16" i="2" s="1"/>
  <c r="BE260" i="2"/>
  <c r="AI41" i="2"/>
  <c r="M212" i="2"/>
  <c r="M217" i="2" s="1"/>
  <c r="BC126" i="2"/>
  <c r="AG213" i="2"/>
  <c r="M213" i="2"/>
  <c r="AE265" i="2"/>
  <c r="M165" i="2"/>
  <c r="M167" i="2" s="1"/>
  <c r="N166" i="2" s="1"/>
  <c r="CG135" i="2"/>
  <c r="CL135" i="2" s="1"/>
  <c r="CQ135" i="2" s="1"/>
  <c r="CV135" i="2" s="1"/>
  <c r="AJ134" i="2"/>
  <c r="AJ191" i="2" s="1"/>
  <c r="J181" i="2"/>
  <c r="BF192" i="2"/>
  <c r="AB217" i="2"/>
  <c r="AC215" i="2" s="1"/>
  <c r="AE128" i="2"/>
  <c r="BG219" i="2"/>
  <c r="BG128" i="2"/>
  <c r="AL166" i="2"/>
  <c r="AQ83" i="2"/>
  <c r="AI275" i="2"/>
  <c r="BI128" i="2"/>
  <c r="U174" i="2"/>
  <c r="CF93" i="2"/>
  <c r="CG93" i="2" s="1"/>
  <c r="CH93" i="2" s="1"/>
  <c r="CI93" i="2" s="1"/>
  <c r="CA100" i="2"/>
  <c r="CB100" i="2" s="1"/>
  <c r="CC100" i="2" s="1"/>
  <c r="CD100" i="2" s="1"/>
  <c r="AP287" i="2"/>
  <c r="BH275" i="2"/>
  <c r="AR30" i="2"/>
  <c r="AF161" i="2"/>
  <c r="X165" i="2"/>
  <c r="AC217" i="2"/>
  <c r="AD215" i="2" s="1"/>
  <c r="AD216" i="2" s="1"/>
  <c r="W102" i="2"/>
  <c r="AV202" i="2"/>
  <c r="AP37" i="2"/>
  <c r="AP48" i="2" s="1"/>
  <c r="AP50" i="2" s="1"/>
  <c r="AP58" i="2" s="1"/>
  <c r="AV13" i="2"/>
  <c r="BB260" i="2"/>
  <c r="H212" i="2"/>
  <c r="H217" i="2" s="1"/>
  <c r="CH202" i="2"/>
  <c r="CH80" i="2" s="1"/>
  <c r="AU175" i="2"/>
  <c r="AS80" i="2"/>
  <c r="W46" i="8"/>
  <c r="Y44" i="8"/>
  <c r="AZ40" i="8"/>
  <c r="BE40" i="8" s="1"/>
  <c r="BJ40" i="8" s="1"/>
  <c r="BO40" i="8" s="1"/>
  <c r="BT40" i="8" s="1"/>
  <c r="AX40" i="8"/>
  <c r="BC40" i="8" s="1"/>
  <c r="BH40" i="8" s="1"/>
  <c r="BM40" i="8" s="1"/>
  <c r="BR40" i="8" s="1"/>
  <c r="W20" i="8"/>
  <c r="W22" i="8" s="1"/>
  <c r="AY41" i="8"/>
  <c r="BD41" i="8" s="1"/>
  <c r="BI41" i="8" s="1"/>
  <c r="BN41" i="8" s="1"/>
  <c r="BS41" i="8" s="1"/>
  <c r="AI219" i="2"/>
  <c r="J176" i="2"/>
  <c r="W212" i="2"/>
  <c r="W219" i="2" s="1"/>
  <c r="J172" i="2"/>
  <c r="BH28" i="2"/>
  <c r="BN231" i="2"/>
  <c r="BB27" i="2"/>
  <c r="BF27" i="2" s="1"/>
  <c r="AT176" i="2"/>
  <c r="P219" i="2"/>
  <c r="H165" i="2"/>
  <c r="H167" i="2" s="1"/>
  <c r="H168" i="2" s="1"/>
  <c r="Z128" i="2"/>
  <c r="AA213" i="2"/>
  <c r="K171" i="2"/>
  <c r="BH37" i="2"/>
  <c r="BH48" i="2" s="1"/>
  <c r="K138" i="2"/>
  <c r="AH166" i="2"/>
  <c r="AH167" i="2" s="1"/>
  <c r="AI217" i="2"/>
  <c r="AJ215" i="2" s="1"/>
  <c r="AK145" i="2"/>
  <c r="AK170" i="2" s="1"/>
  <c r="U128" i="2"/>
  <c r="BA109" i="2"/>
  <c r="BA114" i="2" s="1"/>
  <c r="BA126" i="2" s="1"/>
  <c r="AN291" i="2"/>
  <c r="BK85" i="2"/>
  <c r="BK86" i="2" s="1"/>
  <c r="AG217" i="2"/>
  <c r="AL215" i="2" s="1"/>
  <c r="BE29" i="2"/>
  <c r="Q145" i="2"/>
  <c r="Q170" i="2" s="1"/>
  <c r="Q171" i="2" s="1"/>
  <c r="BM180" i="2"/>
  <c r="AA216" i="2"/>
  <c r="G126" i="2"/>
  <c r="G128" i="2" s="1"/>
  <c r="AU150" i="2"/>
  <c r="AU265" i="2" s="1"/>
  <c r="BP83" i="2"/>
  <c r="AI191" i="2"/>
  <c r="AP144" i="2"/>
  <c r="AP291" i="2" s="1"/>
  <c r="AG219" i="2"/>
  <c r="AD165" i="2"/>
  <c r="AZ231" i="2"/>
  <c r="BE287" i="2"/>
  <c r="BE37" i="2"/>
  <c r="BE48" i="2" s="1"/>
  <c r="BE58" i="2" s="1"/>
  <c r="BE132" i="2" s="1"/>
  <c r="AX180" i="2"/>
  <c r="AX22" i="2"/>
  <c r="O219" i="2"/>
  <c r="AN190" i="2"/>
  <c r="T176" i="2"/>
  <c r="T219" i="2"/>
  <c r="W165" i="2"/>
  <c r="W167" i="2" s="1"/>
  <c r="X166" i="2" s="1"/>
  <c r="X167" i="2" s="1"/>
  <c r="AJ128" i="2"/>
  <c r="X128" i="2"/>
  <c r="X12" i="2"/>
  <c r="I224" i="2"/>
  <c r="N165" i="2"/>
  <c r="CC202" i="2"/>
  <c r="CC80" i="2" s="1"/>
  <c r="AH44" i="8"/>
  <c r="AY40" i="8"/>
  <c r="BD40" i="8" s="1"/>
  <c r="BI40" i="8" s="1"/>
  <c r="BN40" i="8" s="1"/>
  <c r="BS40" i="8" s="1"/>
  <c r="L54" i="2"/>
  <c r="BL204" i="2"/>
  <c r="BL206" i="2" s="1"/>
  <c r="BT118" i="2"/>
  <c r="BN28" i="2"/>
  <c r="BC13" i="2"/>
  <c r="CM192" i="2"/>
  <c r="CR192" i="2" s="1"/>
  <c r="CW192" i="2" s="1"/>
  <c r="BM27" i="2"/>
  <c r="AZ271" i="2"/>
  <c r="AI22" i="8"/>
  <c r="BM261" i="2"/>
  <c r="BR6" i="2"/>
  <c r="AA44" i="8"/>
  <c r="S22" i="8"/>
  <c r="AI44" i="8"/>
  <c r="AS173" i="2"/>
  <c r="AS174" i="2" s="1"/>
  <c r="AS176" i="2"/>
  <c r="AG126" i="2"/>
  <c r="AG128" i="2" s="1"/>
  <c r="D168" i="2"/>
  <c r="X182" i="2"/>
  <c r="AX126" i="2"/>
  <c r="AX128" i="2" s="1"/>
  <c r="AF219" i="2"/>
  <c r="BD260" i="2"/>
  <c r="BH165" i="2"/>
  <c r="CA113" i="2"/>
  <c r="CB113" i="2" s="1"/>
  <c r="CC113" i="2" s="1"/>
  <c r="CD113" i="2" s="1"/>
  <c r="CE113" i="2" s="1"/>
  <c r="BM119" i="2"/>
  <c r="X189" i="2"/>
  <c r="O128" i="2"/>
  <c r="N128" i="2"/>
  <c r="AR128" i="2"/>
  <c r="BB219" i="2"/>
  <c r="J165" i="2"/>
  <c r="BD161" i="2"/>
  <c r="AV165" i="2"/>
  <c r="X15" i="2"/>
  <c r="X16" i="2" s="1"/>
  <c r="Y128" i="2"/>
  <c r="AV231" i="2"/>
  <c r="AB219" i="2"/>
  <c r="AF213" i="2"/>
  <c r="AB128" i="2"/>
  <c r="BI293" i="2"/>
  <c r="AI165" i="2"/>
  <c r="BM13" i="2"/>
  <c r="AN221" i="2"/>
  <c r="AO4" i="2"/>
  <c r="AO227" i="2" s="1"/>
  <c r="AR275" i="2"/>
  <c r="BB126" i="2"/>
  <c r="BB128" i="2" s="1"/>
  <c r="AY22" i="2"/>
  <c r="AV17" i="2"/>
  <c r="BK92" i="2"/>
  <c r="O165" i="2"/>
  <c r="AG45" i="8"/>
  <c r="AC128" i="2"/>
  <c r="BD22" i="2"/>
  <c r="AX231" i="2"/>
  <c r="AD128" i="2"/>
  <c r="S213" i="2"/>
  <c r="BA186" i="2"/>
  <c r="BA228" i="2" s="1"/>
  <c r="BA231" i="2" s="1"/>
  <c r="AD176" i="2"/>
  <c r="BO158" i="2"/>
  <c r="BO161" i="2" s="1"/>
  <c r="AY219" i="2"/>
  <c r="R219" i="2"/>
  <c r="K216" i="2"/>
  <c r="AN152" i="2"/>
  <c r="AN151" i="2" s="1"/>
  <c r="AO151" i="2" s="1"/>
  <c r="AO152" i="2" s="1"/>
  <c r="AW219" i="2"/>
  <c r="BE114" i="2"/>
  <c r="BE126" i="2" s="1"/>
  <c r="BE128" i="2" s="1"/>
  <c r="BF109" i="2"/>
  <c r="BF114" i="2" s="1"/>
  <c r="BF126" i="2" s="1"/>
  <c r="E128" i="2"/>
  <c r="AM174" i="2"/>
  <c r="D128" i="2"/>
  <c r="BE265" i="2"/>
  <c r="AM165" i="2"/>
  <c r="BM161" i="2"/>
  <c r="BM165" i="2" s="1"/>
  <c r="K219" i="2"/>
  <c r="L126" i="2"/>
  <c r="BM231" i="2"/>
  <c r="BK105" i="2"/>
  <c r="BK210" i="2" s="1"/>
  <c r="BL213" i="2" s="1"/>
  <c r="BF6" i="2"/>
  <c r="Z219" i="2"/>
  <c r="BD231" i="2"/>
  <c r="AC7" i="8"/>
  <c r="AT219" i="2"/>
  <c r="L149" i="2"/>
  <c r="L152" i="2" s="1"/>
  <c r="BL231" i="2"/>
  <c r="G134" i="2"/>
  <c r="G41" i="2" s="1"/>
  <c r="G42" i="2" s="1"/>
  <c r="I218" i="2" s="1"/>
  <c r="AZ28" i="2"/>
  <c r="BE30" i="2" s="1"/>
  <c r="BM287" i="2"/>
  <c r="AJ44" i="8"/>
  <c r="AX271" i="2"/>
  <c r="AQ231" i="2"/>
  <c r="BD134" i="2"/>
  <c r="BC41" i="2"/>
  <c r="BC191" i="2"/>
  <c r="AS219" i="2"/>
  <c r="AR213" i="2"/>
  <c r="W45" i="8"/>
  <c r="BB293" i="2"/>
  <c r="BC165" i="2"/>
  <c r="AR17" i="2"/>
  <c r="AM213" i="2"/>
  <c r="AW126" i="2"/>
  <c r="AW128" i="2" s="1"/>
  <c r="AE195" i="2"/>
  <c r="AH128" i="2"/>
  <c r="J219" i="2"/>
  <c r="J225" i="2" s="1"/>
  <c r="AM219" i="2"/>
  <c r="BM176" i="2"/>
  <c r="BC216" i="2"/>
  <c r="Y174" i="2"/>
  <c r="W126" i="2"/>
  <c r="BA165" i="2"/>
  <c r="BC190" i="2"/>
  <c r="AB15" i="2"/>
  <c r="AB182" i="2"/>
  <c r="AB195" i="2"/>
  <c r="AB187" i="2"/>
  <c r="AB12" i="2"/>
  <c r="AB189" i="2"/>
  <c r="AB183" i="2"/>
  <c r="AB20" i="2"/>
  <c r="AB180" i="2" s="1"/>
  <c r="AB179" i="2"/>
  <c r="AB184" i="2"/>
  <c r="AB229" i="2" s="1"/>
  <c r="AB231" i="2" s="1"/>
  <c r="AB194" i="2"/>
  <c r="BM205" i="2"/>
  <c r="BN205" i="2" s="1"/>
  <c r="BO205" i="2" s="1"/>
  <c r="BJ145" i="2"/>
  <c r="BJ170" i="2" s="1"/>
  <c r="BF12" i="2"/>
  <c r="BF193" i="2"/>
  <c r="BF230" i="2" s="1"/>
  <c r="BN144" i="2"/>
  <c r="BN291" i="2" s="1"/>
  <c r="BM291" i="2"/>
  <c r="AX287" i="2"/>
  <c r="AX28" i="2"/>
  <c r="AX30" i="2" s="1"/>
  <c r="S128" i="2"/>
  <c r="AT126" i="2"/>
  <c r="AT128" i="2" s="1"/>
  <c r="BD37" i="2"/>
  <c r="BD48" i="2" s="1"/>
  <c r="BN37" i="2"/>
  <c r="BC271" i="2"/>
  <c r="AW271" i="2"/>
  <c r="AK219" i="2"/>
  <c r="BH176" i="2"/>
  <c r="BH173" i="2"/>
  <c r="BM174" i="2" s="1"/>
  <c r="BO134" i="2"/>
  <c r="AB9" i="2"/>
  <c r="W20" i="2"/>
  <c r="W183" i="2"/>
  <c r="W12" i="2"/>
  <c r="W187" i="2"/>
  <c r="W195" i="2"/>
  <c r="W179" i="2"/>
  <c r="W184" i="2"/>
  <c r="W229" i="2" s="1"/>
  <c r="W231" i="2" s="1"/>
  <c r="W189" i="2"/>
  <c r="W15" i="2"/>
  <c r="E165" i="2"/>
  <c r="E167" i="2" s="1"/>
  <c r="E168" i="2" s="1"/>
  <c r="R102" i="2"/>
  <c r="R128" i="2" s="1"/>
  <c r="N219" i="2"/>
  <c r="AK293" i="2"/>
  <c r="AE161" i="2"/>
  <c r="AY128" i="2"/>
  <c r="AU161" i="2"/>
  <c r="BN16" i="2"/>
  <c r="AS128" i="2"/>
  <c r="AI291" i="2"/>
  <c r="BF15" i="2"/>
  <c r="BF16" i="2" s="1"/>
  <c r="AK126" i="2"/>
  <c r="AK128" i="2" s="1"/>
  <c r="AC9" i="2"/>
  <c r="BI170" i="2"/>
  <c r="BI171" i="2" s="1"/>
  <c r="BI173" i="2" s="1"/>
  <c r="BN287" i="2"/>
  <c r="AE12" i="2"/>
  <c r="BM29" i="2"/>
  <c r="BO145" i="2"/>
  <c r="W182" i="2"/>
  <c r="L128" i="2"/>
  <c r="BO135" i="2"/>
  <c r="AZ22" i="2"/>
  <c r="AZ180" i="2"/>
  <c r="BO148" i="2"/>
  <c r="AX29" i="2"/>
  <c r="BF185" i="2"/>
  <c r="AG174" i="2"/>
  <c r="H218" i="2"/>
  <c r="P128" i="2"/>
  <c r="BC219" i="2"/>
  <c r="L145" i="2"/>
  <c r="L170" i="2" s="1"/>
  <c r="BM37" i="2"/>
  <c r="BM222" i="2" s="1"/>
  <c r="AA102" i="2"/>
  <c r="P152" i="2"/>
  <c r="V128" i="2"/>
  <c r="AF126" i="2"/>
  <c r="AF128" i="2" s="1"/>
  <c r="BF186" i="2"/>
  <c r="BF228" i="2" s="1"/>
  <c r="BM16" i="2"/>
  <c r="AE179" i="2"/>
  <c r="BA82" i="2"/>
  <c r="AX37" i="2"/>
  <c r="AX48" i="2" s="1"/>
  <c r="AX50" i="2" s="1"/>
  <c r="AX58" i="2" s="1"/>
  <c r="AX73" i="2" s="1"/>
  <c r="AX54" i="2" s="1"/>
  <c r="AG29" i="8"/>
  <c r="AL20" i="8"/>
  <c r="AY271" i="2"/>
  <c r="AY260" i="2"/>
  <c r="AH293" i="2"/>
  <c r="AH217" i="2"/>
  <c r="AI215" i="2" s="1"/>
  <c r="X179" i="2"/>
  <c r="X187" i="2"/>
  <c r="X195" i="2"/>
  <c r="X20" i="2"/>
  <c r="X180" i="2" s="1"/>
  <c r="AP150" i="2"/>
  <c r="M174" i="2"/>
  <c r="AE134" i="2"/>
  <c r="AD191" i="2"/>
  <c r="AD190" i="2"/>
  <c r="AD41" i="2"/>
  <c r="AF134" i="2"/>
  <c r="J5" i="8"/>
  <c r="AN227" i="2"/>
  <c r="BE13" i="2"/>
  <c r="BO140" i="2"/>
  <c r="BI261" i="2"/>
  <c r="BJ187" i="2"/>
  <c r="BK261" i="2"/>
  <c r="AL45" i="8"/>
  <c r="AB45" i="8"/>
  <c r="Z44" i="8"/>
  <c r="BJ286" i="2"/>
  <c r="BJ15" i="2"/>
  <c r="AL9" i="8"/>
  <c r="AF44" i="8"/>
  <c r="BJ195" i="2"/>
  <c r="BJ182" i="2"/>
  <c r="BJ184" i="2"/>
  <c r="BJ229" i="2" s="1"/>
  <c r="BJ231" i="2" s="1"/>
  <c r="BJ12" i="2"/>
  <c r="BJ13" i="2" s="1"/>
  <c r="AC10" i="8"/>
  <c r="AG39" i="8"/>
  <c r="BJ20" i="2"/>
  <c r="BJ22" i="2" s="1"/>
  <c r="BK5" i="2"/>
  <c r="AL10" i="8"/>
  <c r="AY32" i="2"/>
  <c r="BA32" i="2" s="1"/>
  <c r="BJ179" i="2"/>
  <c r="BJ9" i="2"/>
  <c r="BJ183" i="2"/>
  <c r="BJ194" i="2"/>
  <c r="AL82" i="2"/>
  <c r="AV82" i="2"/>
  <c r="BO6" i="2"/>
  <c r="BF82" i="2"/>
  <c r="BJ204" i="2"/>
  <c r="BJ206" i="2" s="1"/>
  <c r="AA190" i="2"/>
  <c r="AA191" i="2"/>
  <c r="AA41" i="2"/>
  <c r="BA271" i="2"/>
  <c r="BA260" i="2"/>
  <c r="AE173" i="2"/>
  <c r="AE176" i="2"/>
  <c r="AA219" i="2"/>
  <c r="AA126" i="2"/>
  <c r="K173" i="2"/>
  <c r="P174" i="2" s="1"/>
  <c r="K172" i="2"/>
  <c r="M270" i="2"/>
  <c r="AO130" i="2"/>
  <c r="AO89" i="2"/>
  <c r="AA188" i="2"/>
  <c r="AR293" i="2"/>
  <c r="AR219" i="2"/>
  <c r="AG15" i="8"/>
  <c r="F128" i="2"/>
  <c r="AC46" i="8"/>
  <c r="K158" i="2"/>
  <c r="AO134" i="2"/>
  <c r="AO191" i="2" s="1"/>
  <c r="AM128" i="2"/>
  <c r="AM275" i="2"/>
  <c r="AB13" i="8"/>
  <c r="AB15" i="8" s="1"/>
  <c r="AO161" i="2"/>
  <c r="W29" i="8"/>
  <c r="W39" i="8"/>
  <c r="AB29" i="8"/>
  <c r="T265" i="2"/>
  <c r="U150" i="2"/>
  <c r="Y265" i="2"/>
  <c r="AC187" i="2"/>
  <c r="AC20" i="2"/>
  <c r="AC189" i="2"/>
  <c r="BP117" i="2"/>
  <c r="BR117" i="2"/>
  <c r="AU188" i="2"/>
  <c r="AU292" i="2"/>
  <c r="AU189" i="2"/>
  <c r="L265" i="2"/>
  <c r="BJ134" i="2"/>
  <c r="BI41" i="2"/>
  <c r="BI191" i="2"/>
  <c r="BI190" i="2"/>
  <c r="M45" i="8"/>
  <c r="AZ41" i="2"/>
  <c r="AZ191" i="2"/>
  <c r="AZ190" i="2"/>
  <c r="BD28" i="2"/>
  <c r="K152" i="2"/>
  <c r="AD174" i="2"/>
  <c r="AS151" i="2"/>
  <c r="AS216" i="2"/>
  <c r="AS165" i="2"/>
  <c r="R39" i="8"/>
  <c r="O183" i="2"/>
  <c r="O187" i="2"/>
  <c r="O182" i="2"/>
  <c r="O20" i="2"/>
  <c r="O180" i="2" s="1"/>
  <c r="O12" i="2"/>
  <c r="O189" i="2"/>
  <c r="O184" i="2"/>
  <c r="O229" i="2" s="1"/>
  <c r="O231" i="2" s="1"/>
  <c r="O195" i="2"/>
  <c r="O194" i="2"/>
  <c r="O179" i="2"/>
  <c r="O15" i="2"/>
  <c r="AR38" i="2"/>
  <c r="AR222" i="2"/>
  <c r="AR224" i="2" s="1"/>
  <c r="AR279" i="2" s="1"/>
  <c r="AR48" i="2"/>
  <c r="AR50" i="2" s="1"/>
  <c r="AR58" i="2" s="1"/>
  <c r="AR39" i="2"/>
  <c r="AR42" i="2"/>
  <c r="BI260" i="2"/>
  <c r="AL293" i="2"/>
  <c r="AL219" i="2"/>
  <c r="AL213" i="2"/>
  <c r="AK291" i="2"/>
  <c r="AZ155" i="2"/>
  <c r="AY161" i="2"/>
  <c r="L196" i="2"/>
  <c r="M196" i="2" s="1"/>
  <c r="CQ190" i="2"/>
  <c r="CV190" i="2" s="1"/>
  <c r="AT287" i="2"/>
  <c r="AT37" i="2"/>
  <c r="AT28" i="2"/>
  <c r="AA150" i="2"/>
  <c r="AA265" i="2" s="1"/>
  <c r="V219" i="2"/>
  <c r="V217" i="2"/>
  <c r="AE152" i="2"/>
  <c r="AE165" i="2" s="1"/>
  <c r="AE188" i="2"/>
  <c r="L20" i="2"/>
  <c r="L184" i="2"/>
  <c r="L229" i="2" s="1"/>
  <c r="L194" i="2"/>
  <c r="L195" i="2"/>
  <c r="L38" i="2"/>
  <c r="L28" i="2"/>
  <c r="L187" i="2"/>
  <c r="L16" i="2"/>
  <c r="L182" i="2"/>
  <c r="L183" i="2"/>
  <c r="L11" i="2"/>
  <c r="AA196" i="2"/>
  <c r="AB196" i="2" s="1"/>
  <c r="AA175" i="2"/>
  <c r="AX219" i="2"/>
  <c r="AN41" i="2"/>
  <c r="X7" i="8"/>
  <c r="BC275" i="2"/>
  <c r="BC128" i="2"/>
  <c r="AY188" i="2"/>
  <c r="AY189" i="2"/>
  <c r="AY292" i="2"/>
  <c r="BA179" i="2"/>
  <c r="BA12" i="2"/>
  <c r="BA185" i="2"/>
  <c r="BA15" i="2"/>
  <c r="BL16" i="2"/>
  <c r="BE145" i="2"/>
  <c r="BE170" i="2" s="1"/>
  <c r="P175" i="2"/>
  <c r="P176" i="2" s="1"/>
  <c r="P196" i="2"/>
  <c r="AZ149" i="2"/>
  <c r="AC22" i="8"/>
  <c r="X39" i="8"/>
  <c r="AC44" i="8" s="1"/>
  <c r="AB6" i="8"/>
  <c r="AG11" i="8" s="1"/>
  <c r="X11" i="8"/>
  <c r="AC11" i="8"/>
  <c r="V188" i="2"/>
  <c r="AY231" i="2"/>
  <c r="BK186" i="2"/>
  <c r="BK228" i="2" s="1"/>
  <c r="BK192" i="2"/>
  <c r="AO170" i="2"/>
  <c r="AO171" i="2" s="1"/>
  <c r="AP145" i="2"/>
  <c r="AP170" i="2" s="1"/>
  <c r="AP171" i="2" s="1"/>
  <c r="AP173" i="2" s="1"/>
  <c r="CT223" i="2"/>
  <c r="Q150" i="2"/>
  <c r="Q265" i="2" s="1"/>
  <c r="AY191" i="2"/>
  <c r="AY41" i="2"/>
  <c r="AY190" i="2"/>
  <c r="K189" i="2"/>
  <c r="BK185" i="2"/>
  <c r="BA174" i="2"/>
  <c r="BH42" i="2"/>
  <c r="Y176" i="2"/>
  <c r="V171" i="2"/>
  <c r="V173" i="2" s="1"/>
  <c r="BK193" i="2"/>
  <c r="BK230" i="2" s="1"/>
  <c r="AE8" i="8"/>
  <c r="BA192" i="2"/>
  <c r="AJ291" i="2"/>
  <c r="AB41" i="8"/>
  <c r="AB46" i="8" s="1"/>
  <c r="AB25" i="8"/>
  <c r="AB20" i="8" s="1"/>
  <c r="AB22" i="8" s="1"/>
  <c r="AG24" i="8"/>
  <c r="AG23" i="8"/>
  <c r="AG25" i="8"/>
  <c r="S165" i="2"/>
  <c r="BI13" i="2"/>
  <c r="Q196" i="2"/>
  <c r="Q175" i="2"/>
  <c r="AP38" i="2"/>
  <c r="AH215" i="2"/>
  <c r="AU291" i="2"/>
  <c r="AA171" i="2"/>
  <c r="AA173" i="2" s="1"/>
  <c r="J128" i="2"/>
  <c r="BK205" i="2"/>
  <c r="F152" i="2"/>
  <c r="AY16" i="2"/>
  <c r="AY17" i="2" s="1"/>
  <c r="AY27" i="2"/>
  <c r="AF175" i="2"/>
  <c r="AF196" i="2"/>
  <c r="AG196" i="2" s="1"/>
  <c r="AV201" i="2"/>
  <c r="AV80" i="2"/>
  <c r="AS41" i="2"/>
  <c r="AS191" i="2"/>
  <c r="AT134" i="2"/>
  <c r="AS190" i="2"/>
  <c r="BI16" i="2"/>
  <c r="BI27" i="2"/>
  <c r="AF149" i="2"/>
  <c r="U155" i="2"/>
  <c r="V155" i="2" s="1"/>
  <c r="V161" i="2" s="1"/>
  <c r="BF213" i="2"/>
  <c r="BG16" i="2"/>
  <c r="BG17" i="2" s="1"/>
  <c r="BG27" i="2"/>
  <c r="AP188" i="2"/>
  <c r="AP292" i="2"/>
  <c r="AP189" i="2"/>
  <c r="AJ150" i="2"/>
  <c r="AJ152" i="2" s="1"/>
  <c r="AI265" i="2"/>
  <c r="K188" i="2"/>
  <c r="AP97" i="2"/>
  <c r="AP102" i="2" s="1"/>
  <c r="AQ92" i="2"/>
  <c r="AP211" i="2"/>
  <c r="AP212" i="2" s="1"/>
  <c r="BB22" i="2"/>
  <c r="BB180" i="2"/>
  <c r="AD44" i="8"/>
  <c r="AM222" i="2"/>
  <c r="AM224" i="2" s="1"/>
  <c r="AM279" i="2" s="1"/>
  <c r="AM42" i="2"/>
  <c r="AM48" i="2"/>
  <c r="AM50" i="2" s="1"/>
  <c r="AM58" i="2" s="1"/>
  <c r="AM38" i="2"/>
  <c r="H126" i="2"/>
  <c r="H128" i="2" s="1"/>
  <c r="AU171" i="2"/>
  <c r="L157" i="2"/>
  <c r="L202" i="2" s="1"/>
  <c r="R45" i="8"/>
  <c r="AQ82" i="2"/>
  <c r="AZ37" i="2"/>
  <c r="M215" i="2"/>
  <c r="I215" i="2"/>
  <c r="L134" i="2"/>
  <c r="K191" i="2"/>
  <c r="K41" i="2"/>
  <c r="K42" i="2" s="1"/>
  <c r="K190" i="2"/>
  <c r="K175" i="2"/>
  <c r="K176" i="2" s="1"/>
  <c r="Z190" i="2"/>
  <c r="Z191" i="2"/>
  <c r="Z41" i="2"/>
  <c r="CY181" i="2"/>
  <c r="CY223" i="2"/>
  <c r="BL261" i="2"/>
  <c r="BB287" i="2"/>
  <c r="AX275" i="2"/>
  <c r="BN196" i="2"/>
  <c r="BP196" i="2" s="1"/>
  <c r="BN175" i="2"/>
  <c r="BN161" i="2"/>
  <c r="AV72" i="2"/>
  <c r="AN275" i="2"/>
  <c r="AZ170" i="2"/>
  <c r="BA97" i="2"/>
  <c r="BA102" i="2" s="1"/>
  <c r="BF295" i="2"/>
  <c r="BA211" i="2"/>
  <c r="BA212" i="2" s="1"/>
  <c r="AV32" i="2"/>
  <c r="AS37" i="2"/>
  <c r="AV211" i="2"/>
  <c r="BA295" i="2"/>
  <c r="AV97" i="2"/>
  <c r="AV102" i="2" s="1"/>
  <c r="AJ175" i="2"/>
  <c r="AJ196" i="2"/>
  <c r="AJ161" i="2"/>
  <c r="CJ56" i="2"/>
  <c r="AW16" i="2"/>
  <c r="AW27" i="2"/>
  <c r="BB29" i="2" s="1"/>
  <c r="I21" i="2"/>
  <c r="N21" i="2"/>
  <c r="BK81" i="2"/>
  <c r="BG81" i="2"/>
  <c r="BG82" i="2" s="1"/>
  <c r="AF7" i="8"/>
  <c r="AK8" i="8" s="1"/>
  <c r="AZ275" i="2"/>
  <c r="AF170" i="2"/>
  <c r="AX176" i="2"/>
  <c r="AX173" i="2"/>
  <c r="BM216" i="2"/>
  <c r="Z151" i="2"/>
  <c r="Z152" i="2" s="1"/>
  <c r="Z165" i="2" s="1"/>
  <c r="Y152" i="2"/>
  <c r="AO219" i="2"/>
  <c r="AO126" i="2"/>
  <c r="AO128" i="2" s="1"/>
  <c r="BF92" i="2"/>
  <c r="BF105" i="2"/>
  <c r="BF210" i="2" s="1"/>
  <c r="AU293" i="2"/>
  <c r="AU219" i="2"/>
  <c r="BC173" i="2"/>
  <c r="BC176" i="2"/>
  <c r="U202" i="2"/>
  <c r="L217" i="2"/>
  <c r="L216" i="2" s="1"/>
  <c r="L219" i="2"/>
  <c r="AZ136" i="2"/>
  <c r="AJ188" i="2"/>
  <c r="AJ292" i="2"/>
  <c r="AK149" i="2"/>
  <c r="P161" i="2"/>
  <c r="I217" i="2"/>
  <c r="I219" i="2"/>
  <c r="Q215" i="2"/>
  <c r="AV194" i="2"/>
  <c r="AV105" i="2"/>
  <c r="AV210" i="2" s="1"/>
  <c r="BL114" i="2"/>
  <c r="BL126" i="2" s="1"/>
  <c r="V175" i="2"/>
  <c r="V196" i="2"/>
  <c r="CE205" i="2"/>
  <c r="BI204" i="2"/>
  <c r="BI206" i="2" s="1"/>
  <c r="BJ188" i="2"/>
  <c r="BJ292" i="2"/>
  <c r="BJ189" i="2"/>
  <c r="BH204" i="2"/>
  <c r="BH206" i="2" s="1"/>
  <c r="BN189" i="2"/>
  <c r="BN188" i="2"/>
  <c r="BN152" i="2"/>
  <c r="BN216" i="2" s="1"/>
  <c r="BN292" i="2"/>
  <c r="M126" i="2"/>
  <c r="M128" i="2" s="1"/>
  <c r="T215" i="2"/>
  <c r="T216" i="2" s="1"/>
  <c r="AL217" i="2"/>
  <c r="Y217" i="2"/>
  <c r="Y219" i="2"/>
  <c r="AY144" i="2"/>
  <c r="AY291" i="2" s="1"/>
  <c r="AX291" i="2"/>
  <c r="BK124" i="2"/>
  <c r="BK126" i="2" s="1"/>
  <c r="AO37" i="2"/>
  <c r="AO28" i="2"/>
  <c r="AO287" i="2"/>
  <c r="AT29" i="2"/>
  <c r="AU28" i="2"/>
  <c r="AU287" i="2"/>
  <c r="AV27" i="2"/>
  <c r="AU29" i="2"/>
  <c r="AU37" i="2"/>
  <c r="AZ29" i="2"/>
  <c r="H181" i="2"/>
  <c r="H223" i="2"/>
  <c r="H224" i="2" s="1"/>
  <c r="BN191" i="2"/>
  <c r="BN190" i="2"/>
  <c r="AT275" i="2"/>
  <c r="AZ126" i="2"/>
  <c r="AZ128" i="2" s="1"/>
  <c r="AZ219" i="2"/>
  <c r="AY151" i="2"/>
  <c r="AX152" i="2"/>
  <c r="G4" i="2"/>
  <c r="F130" i="2"/>
  <c r="F89" i="2"/>
  <c r="U219" i="2"/>
  <c r="AI173" i="2"/>
  <c r="F166" i="2"/>
  <c r="R166" i="2"/>
  <c r="R167" i="2" s="1"/>
  <c r="Q128" i="2"/>
  <c r="AJ293" i="2"/>
  <c r="AJ217" i="2"/>
  <c r="AJ219" i="2"/>
  <c r="O215" i="2"/>
  <c r="O216" i="2" s="1"/>
  <c r="BH13" i="2"/>
  <c r="AL275" i="2"/>
  <c r="AL128" i="2"/>
  <c r="T80" i="2"/>
  <c r="T201" i="2"/>
  <c r="Z176" i="2"/>
  <c r="Z173" i="2"/>
  <c r="BH126" i="2"/>
  <c r="BH219" i="2"/>
  <c r="F138" i="2"/>
  <c r="O173" i="2"/>
  <c r="BD188" i="2"/>
  <c r="BD152" i="2"/>
  <c r="BD292" i="2"/>
  <c r="BD171" i="2"/>
  <c r="BD189" i="2"/>
  <c r="BE149" i="2"/>
  <c r="AQ126" i="2"/>
  <c r="U190" i="2"/>
  <c r="U41" i="2"/>
  <c r="U191" i="2"/>
  <c r="AI176" i="2"/>
  <c r="AE44" i="8"/>
  <c r="AJ171" i="2"/>
  <c r="G152" i="2"/>
  <c r="BN261" i="2"/>
  <c r="AN28" i="2"/>
  <c r="AS29" i="2"/>
  <c r="AN287" i="2"/>
  <c r="AN37" i="2"/>
  <c r="AQ27" i="2"/>
  <c r="V202" i="2"/>
  <c r="V80" i="2" s="1"/>
  <c r="AD7" i="8"/>
  <c r="AD8" i="8" s="1"/>
  <c r="U216" i="2"/>
  <c r="V215" i="2"/>
  <c r="BJ124" i="2"/>
  <c r="BJ126" i="2" s="1"/>
  <c r="BJ128" i="2" s="1"/>
  <c r="AW13" i="2"/>
  <c r="BB13" i="2"/>
  <c r="BE22" i="2"/>
  <c r="BE180" i="2"/>
  <c r="BC28" i="2"/>
  <c r="BC37" i="2"/>
  <c r="BC287" i="2"/>
  <c r="BC29" i="2"/>
  <c r="BH29" i="2"/>
  <c r="CP52" i="2"/>
  <c r="CF181" i="2"/>
  <c r="CF223" i="2"/>
  <c r="O41" i="2"/>
  <c r="P134" i="2"/>
  <c r="O190" i="2"/>
  <c r="O191" i="2"/>
  <c r="BN170" i="2"/>
  <c r="BN171" i="2" s="1"/>
  <c r="BL22" i="2"/>
  <c r="BL180" i="2"/>
  <c r="AY170" i="2"/>
  <c r="AY171" i="2" s="1"/>
  <c r="Q151" i="2"/>
  <c r="F155" i="2"/>
  <c r="AN126" i="2"/>
  <c r="AN128" i="2" s="1"/>
  <c r="AN219" i="2"/>
  <c r="T152" i="2"/>
  <c r="T165" i="2" s="1"/>
  <c r="V151" i="2"/>
  <c r="BD219" i="2"/>
  <c r="BD293" i="2"/>
  <c r="BE219" i="2"/>
  <c r="Y161" i="2"/>
  <c r="AA158" i="2"/>
  <c r="AA161" i="2" s="1"/>
  <c r="CG205" i="2"/>
  <c r="P215" i="2"/>
  <c r="P216" i="2" s="1"/>
  <c r="Y215" i="2"/>
  <c r="BI144" i="2"/>
  <c r="BJ144" i="2" s="1"/>
  <c r="BJ291" i="2" s="1"/>
  <c r="BH291" i="2"/>
  <c r="Q188" i="2"/>
  <c r="Q156" i="2"/>
  <c r="Q161" i="2" s="1"/>
  <c r="AV109" i="2"/>
  <c r="AV114" i="2" s="1"/>
  <c r="AV126" i="2" s="1"/>
  <c r="AU114" i="2"/>
  <c r="AU126" i="2" s="1"/>
  <c r="AU128" i="2" s="1"/>
  <c r="T190" i="2"/>
  <c r="T41" i="2"/>
  <c r="V134" i="2"/>
  <c r="T191" i="2"/>
  <c r="U196" i="2"/>
  <c r="U175" i="2"/>
  <c r="U176" i="2" s="1"/>
  <c r="Q219" i="2"/>
  <c r="Q217" i="2"/>
  <c r="CX202" i="2"/>
  <c r="CW80" i="2"/>
  <c r="CM80" i="2"/>
  <c r="CN80" i="2"/>
  <c r="CQ80" i="2"/>
  <c r="CR202" i="2"/>
  <c r="CS202" i="2" s="1"/>
  <c r="CU189" i="2"/>
  <c r="CV189" i="2" s="1"/>
  <c r="CW189" i="2" s="1"/>
  <c r="CX189" i="2" s="1"/>
  <c r="CL56" i="2"/>
  <c r="CM56" i="2" s="1"/>
  <c r="CN56" i="2" s="1"/>
  <c r="CP56" i="2" s="1"/>
  <c r="BT261" i="2"/>
  <c r="BL219" i="2"/>
  <c r="BK211" i="2"/>
  <c r="BP295" i="2"/>
  <c r="BK97" i="2"/>
  <c r="BK102" i="2" s="1"/>
  <c r="BQ137" i="2"/>
  <c r="AL22" i="8" l="1"/>
  <c r="I225" i="2"/>
  <c r="AJ41" i="2"/>
  <c r="AE27" i="2"/>
  <c r="AE37" i="2" s="1"/>
  <c r="AE189" i="2"/>
  <c r="K5" i="8"/>
  <c r="K27" i="8" s="1"/>
  <c r="K48" i="8" s="1"/>
  <c r="AO178" i="2"/>
  <c r="AE187" i="2"/>
  <c r="AE182" i="2"/>
  <c r="AE216" i="2"/>
  <c r="AJ190" i="2"/>
  <c r="AO221" i="2"/>
  <c r="AE183" i="2"/>
  <c r="AE194" i="2"/>
  <c r="AE184" i="2"/>
  <c r="AE229" i="2" s="1"/>
  <c r="AE231" i="2" s="1"/>
  <c r="AE20" i="2"/>
  <c r="AE180" i="2" s="1"/>
  <c r="AK134" i="2"/>
  <c r="AK191" i="2" s="1"/>
  <c r="X27" i="2"/>
  <c r="X37" i="2" s="1"/>
  <c r="G138" i="2"/>
  <c r="AC216" i="2"/>
  <c r="AG215" i="2"/>
  <c r="AG216" i="2" s="1"/>
  <c r="CD202" i="2"/>
  <c r="CD80" i="2" s="1"/>
  <c r="M219" i="2"/>
  <c r="M218" i="2"/>
  <c r="L218" i="2" s="1"/>
  <c r="AC15" i="2"/>
  <c r="AC184" i="2"/>
  <c r="AC229" i="2" s="1"/>
  <c r="AC231" i="2" s="1"/>
  <c r="AC179" i="2"/>
  <c r="AC183" i="2"/>
  <c r="AC12" i="2"/>
  <c r="AC13" i="2" s="1"/>
  <c r="AC195" i="2"/>
  <c r="P194" i="2"/>
  <c r="AC194" i="2"/>
  <c r="AC182" i="2"/>
  <c r="M168" i="2"/>
  <c r="W217" i="2"/>
  <c r="AB215" i="2" s="1"/>
  <c r="AB216" i="2" s="1"/>
  <c r="AP222" i="2"/>
  <c r="AP224" i="2" s="1"/>
  <c r="AP279" i="2" s="1"/>
  <c r="CI202" i="2"/>
  <c r="CI80" i="2" s="1"/>
  <c r="W168" i="2"/>
  <c r="AP134" i="2"/>
  <c r="AP190" i="2" s="1"/>
  <c r="AZ171" i="2"/>
  <c r="AZ173" i="2" s="1"/>
  <c r="AI216" i="2"/>
  <c r="CC135" i="2"/>
  <c r="CI185" i="2"/>
  <c r="CN185" i="2" s="1"/>
  <c r="CS185" i="2" s="1"/>
  <c r="CX185" i="2" s="1"/>
  <c r="BB37" i="2"/>
  <c r="BB38" i="2" s="1"/>
  <c r="BH222" i="2"/>
  <c r="W128" i="2"/>
  <c r="H219" i="2"/>
  <c r="I166" i="2"/>
  <c r="I167" i="2" s="1"/>
  <c r="J166" i="2" s="1"/>
  <c r="J167" i="2" s="1"/>
  <c r="AX174" i="2"/>
  <c r="BB28" i="2"/>
  <c r="BH38" i="2"/>
  <c r="BG29" i="2"/>
  <c r="W213" i="2"/>
  <c r="L171" i="2"/>
  <c r="L172" i="2" s="1"/>
  <c r="L188" i="2"/>
  <c r="AH216" i="2"/>
  <c r="BO144" i="2"/>
  <c r="AA128" i="2"/>
  <c r="Q152" i="2"/>
  <c r="Q165" i="2" s="1"/>
  <c r="N167" i="2"/>
  <c r="N168" i="2" s="1"/>
  <c r="BS137" i="2"/>
  <c r="BT137" i="2" s="1"/>
  <c r="AB166" i="2"/>
  <c r="AB167" i="2" s="1"/>
  <c r="AB168" i="2" s="1"/>
  <c r="BD222" i="2"/>
  <c r="BE222" i="2"/>
  <c r="BE38" i="2"/>
  <c r="BD38" i="2"/>
  <c r="AH20" i="2"/>
  <c r="AC8" i="8"/>
  <c r="AZ58" i="8"/>
  <c r="BA58" i="8" s="1"/>
  <c r="BA59" i="8" s="1"/>
  <c r="AU60" i="8"/>
  <c r="BN38" i="2"/>
  <c r="BU118" i="2"/>
  <c r="BV118" i="2"/>
  <c r="BW118" i="2" s="1"/>
  <c r="BK12" i="2"/>
  <c r="BK13" i="2" s="1"/>
  <c r="BK257" i="2"/>
  <c r="BN48" i="2"/>
  <c r="L225" i="2"/>
  <c r="BM48" i="2"/>
  <c r="BM52" i="2" s="1"/>
  <c r="BS117" i="2"/>
  <c r="BO206" i="2"/>
  <c r="BO208" i="2" s="1"/>
  <c r="BQ205" i="2"/>
  <c r="BR205" i="2" s="1"/>
  <c r="BS205" i="2" s="1"/>
  <c r="BT205" i="2" s="1"/>
  <c r="BM17" i="2"/>
  <c r="BM28" i="2"/>
  <c r="BR261" i="2"/>
  <c r="CF113" i="2"/>
  <c r="CG113" i="2" s="1"/>
  <c r="CH113" i="2" s="1"/>
  <c r="CI113" i="2" s="1"/>
  <c r="CK113" i="2" s="1"/>
  <c r="CL113" i="2" s="1"/>
  <c r="CM113" i="2" s="1"/>
  <c r="CN113" i="2" s="1"/>
  <c r="BR260" i="2"/>
  <c r="BQ261" i="2"/>
  <c r="J218" i="2"/>
  <c r="AX42" i="2"/>
  <c r="AX289" i="2" s="1"/>
  <c r="M216" i="2"/>
  <c r="L189" i="2"/>
  <c r="BN17" i="2"/>
  <c r="BK212" i="2"/>
  <c r="BK219" i="2" s="1"/>
  <c r="K225" i="2"/>
  <c r="AA174" i="2"/>
  <c r="AN216" i="2"/>
  <c r="AN165" i="2"/>
  <c r="BF231" i="2"/>
  <c r="G43" i="2"/>
  <c r="BN222" i="2"/>
  <c r="U161" i="2"/>
  <c r="BE73" i="2"/>
  <c r="BE75" i="2" s="1"/>
  <c r="BF260" i="2"/>
  <c r="V216" i="2"/>
  <c r="P165" i="2"/>
  <c r="AA194" i="2"/>
  <c r="BE60" i="2"/>
  <c r="BE52" i="2"/>
  <c r="BE223" i="2" s="1"/>
  <c r="AX172" i="2"/>
  <c r="BE63" i="2"/>
  <c r="BE66" i="2" s="1"/>
  <c r="AB27" i="2"/>
  <c r="AB16" i="2"/>
  <c r="BD41" i="2"/>
  <c r="BD42" i="2" s="1"/>
  <c r="BD43" i="2" s="1"/>
  <c r="BD190" i="2"/>
  <c r="BD191" i="2"/>
  <c r="BM39" i="2"/>
  <c r="AO41" i="2"/>
  <c r="AO42" i="2" s="1"/>
  <c r="AX60" i="2"/>
  <c r="BP205" i="2"/>
  <c r="N9" i="2"/>
  <c r="BM38" i="2"/>
  <c r="AO190" i="2"/>
  <c r="AF171" i="2"/>
  <c r="AF173" i="2" s="1"/>
  <c r="AF174" i="2" s="1"/>
  <c r="AX222" i="2"/>
  <c r="AX224" i="2" s="1"/>
  <c r="AX279" i="2" s="1"/>
  <c r="AX38" i="2"/>
  <c r="AB13" i="2"/>
  <c r="BE134" i="2"/>
  <c r="BE138" i="2" s="1"/>
  <c r="BE268" i="2" s="1"/>
  <c r="BM42" i="2"/>
  <c r="V176" i="2"/>
  <c r="BJ6" i="2"/>
  <c r="Y165" i="2"/>
  <c r="AF41" i="2"/>
  <c r="AF191" i="2"/>
  <c r="AF190" i="2"/>
  <c r="AE190" i="2"/>
  <c r="AE191" i="2"/>
  <c r="AE41" i="2"/>
  <c r="BO152" i="2"/>
  <c r="BO265" i="2"/>
  <c r="W27" i="2"/>
  <c r="W16" i="2"/>
  <c r="W180" i="2"/>
  <c r="AB22" i="2"/>
  <c r="AP151" i="2"/>
  <c r="AX132" i="2"/>
  <c r="AX138" i="2" s="1"/>
  <c r="AX290" i="2" s="1"/>
  <c r="BN206" i="2"/>
  <c r="BN208" i="2" s="1"/>
  <c r="W196" i="2"/>
  <c r="J27" i="8"/>
  <c r="J48" i="8" s="1"/>
  <c r="BO41" i="2"/>
  <c r="BO190" i="2"/>
  <c r="BK184" i="2"/>
  <c r="BK229" i="2" s="1"/>
  <c r="BK231" i="2" s="1"/>
  <c r="AY37" i="2"/>
  <c r="AY222" i="2" s="1"/>
  <c r="AY224" i="2" s="1"/>
  <c r="AY279" i="2" s="1"/>
  <c r="BK183" i="2"/>
  <c r="BP261" i="2"/>
  <c r="AG10" i="8"/>
  <c r="BJ16" i="2"/>
  <c r="BJ17" i="2" s="1"/>
  <c r="BK179" i="2"/>
  <c r="BK189" i="2"/>
  <c r="BJ27" i="2"/>
  <c r="AG20" i="8"/>
  <c r="AG22" i="8" s="1"/>
  <c r="AX75" i="2"/>
  <c r="BJ180" i="2"/>
  <c r="BO261" i="2"/>
  <c r="BK20" i="2"/>
  <c r="BK180" i="2" s="1"/>
  <c r="BK195" i="2"/>
  <c r="BK9" i="2"/>
  <c r="BK187" i="2"/>
  <c r="BK182" i="2"/>
  <c r="BK15" i="2"/>
  <c r="BK286" i="2"/>
  <c r="BK194" i="2"/>
  <c r="BP101" i="2"/>
  <c r="BO260" i="2"/>
  <c r="BJ219" i="2"/>
  <c r="BH289" i="2"/>
  <c r="BH43" i="2"/>
  <c r="BN165" i="2"/>
  <c r="AM132" i="2"/>
  <c r="AM60" i="2"/>
  <c r="AM172" i="2"/>
  <c r="M11" i="2"/>
  <c r="M9" i="2"/>
  <c r="M194" i="2"/>
  <c r="M189" i="2"/>
  <c r="M20" i="2"/>
  <c r="M180" i="2" s="1"/>
  <c r="M187" i="2"/>
  <c r="M183" i="2"/>
  <c r="M184" i="2"/>
  <c r="M229" i="2" s="1"/>
  <c r="M195" i="2"/>
  <c r="M28" i="2"/>
  <c r="M38" i="2"/>
  <c r="M182" i="2"/>
  <c r="M16" i="2"/>
  <c r="AV295" i="2"/>
  <c r="AQ211" i="2"/>
  <c r="AQ212" i="2" s="1"/>
  <c r="AQ97" i="2"/>
  <c r="AQ102" i="2" s="1"/>
  <c r="AQ275" i="2" s="1"/>
  <c r="AJ7" i="8"/>
  <c r="BN6" i="2" s="1"/>
  <c r="AO173" i="2"/>
  <c r="AT174" i="2" s="1"/>
  <c r="AO176" i="2"/>
  <c r="AG9" i="8"/>
  <c r="AB39" i="8"/>
  <c r="AB11" i="8"/>
  <c r="R196" i="2"/>
  <c r="BL17" i="2"/>
  <c r="BA13" i="2"/>
  <c r="BF13" i="2"/>
  <c r="L179" i="2"/>
  <c r="L193" i="2"/>
  <c r="L230" i="2" s="1"/>
  <c r="L12" i="2"/>
  <c r="L192" i="2"/>
  <c r="L185" i="2"/>
  <c r="L186" i="2"/>
  <c r="L228" i="2" s="1"/>
  <c r="L231" i="2" s="1"/>
  <c r="L175" i="2"/>
  <c r="AI166" i="2"/>
  <c r="AI167" i="2" s="1"/>
  <c r="AH168" i="2"/>
  <c r="BJ41" i="2"/>
  <c r="BJ191" i="2"/>
  <c r="BJ190" i="2"/>
  <c r="AC180" i="2"/>
  <c r="AC22" i="2"/>
  <c r="X28" i="2"/>
  <c r="M43" i="2"/>
  <c r="L191" i="2"/>
  <c r="L41" i="2"/>
  <c r="L42" i="2" s="1"/>
  <c r="L43" i="2" s="1"/>
  <c r="L190" i="2"/>
  <c r="L138" i="2"/>
  <c r="AU173" i="2"/>
  <c r="AU174" i="2" s="1"/>
  <c r="AU176" i="2"/>
  <c r="AP128" i="2"/>
  <c r="AP275" i="2"/>
  <c r="P20" i="2"/>
  <c r="P183" i="2"/>
  <c r="P182" i="2"/>
  <c r="BL287" i="2"/>
  <c r="BL28" i="2"/>
  <c r="BL37" i="2"/>
  <c r="BL48" i="2" s="1"/>
  <c r="BL29" i="2"/>
  <c r="AE28" i="2"/>
  <c r="AR60" i="2"/>
  <c r="AR132" i="2"/>
  <c r="AR138" i="2" s="1"/>
  <c r="AR73" i="2"/>
  <c r="AR172" i="2"/>
  <c r="O27" i="2"/>
  <c r="O16" i="2"/>
  <c r="AT151" i="2"/>
  <c r="AT152" i="2" s="1"/>
  <c r="AC27" i="2"/>
  <c r="AC16" i="2"/>
  <c r="AC17" i="2" s="1"/>
  <c r="U265" i="2"/>
  <c r="V150" i="2"/>
  <c r="V265" i="2" s="1"/>
  <c r="N215" i="2"/>
  <c r="N216" i="2" s="1"/>
  <c r="R215" i="2"/>
  <c r="U152" i="2"/>
  <c r="AT41" i="2"/>
  <c r="AT42" i="2" s="1"/>
  <c r="AT191" i="2"/>
  <c r="AT190" i="2"/>
  <c r="AZ144" i="2"/>
  <c r="AZ291" i="2" s="1"/>
  <c r="CR190" i="2"/>
  <c r="CW190" i="2" s="1"/>
  <c r="AZ48" i="2"/>
  <c r="AZ38" i="2"/>
  <c r="AZ222" i="2"/>
  <c r="AZ224" i="2" s="1"/>
  <c r="AZ279" i="2" s="1"/>
  <c r="AZ42" i="2"/>
  <c r="BE39" i="2"/>
  <c r="H20" i="2"/>
  <c r="H187" i="2"/>
  <c r="H16" i="2"/>
  <c r="H184" i="2"/>
  <c r="H229" i="2" s="1"/>
  <c r="H28" i="2"/>
  <c r="H38" i="2"/>
  <c r="H189" i="2"/>
  <c r="H11" i="2"/>
  <c r="H182" i="2"/>
  <c r="H194" i="2"/>
  <c r="H195" i="2"/>
  <c r="H183" i="2"/>
  <c r="H43" i="2"/>
  <c r="BI28" i="2"/>
  <c r="BI37" i="2"/>
  <c r="BI287" i="2"/>
  <c r="BI29" i="2"/>
  <c r="BN29" i="2"/>
  <c r="AY29" i="2"/>
  <c r="AY28" i="2"/>
  <c r="AY287" i="2"/>
  <c r="AP172" i="2"/>
  <c r="AP60" i="2"/>
  <c r="AP132" i="2"/>
  <c r="AO165" i="2"/>
  <c r="AO216" i="2"/>
  <c r="BD17" i="2"/>
  <c r="AG46" i="8"/>
  <c r="AZ189" i="2"/>
  <c r="AZ188" i="2"/>
  <c r="AZ292" i="2"/>
  <c r="BA16" i="2"/>
  <c r="BD29" i="2"/>
  <c r="AF179" i="2"/>
  <c r="AF15" i="2"/>
  <c r="AF195" i="2"/>
  <c r="AF183" i="2"/>
  <c r="AF20" i="2"/>
  <c r="AF180" i="2" s="1"/>
  <c r="AF12" i="2"/>
  <c r="AF187" i="2"/>
  <c r="AF184" i="2"/>
  <c r="AF229" i="2" s="1"/>
  <c r="AF231" i="2" s="1"/>
  <c r="AF194" i="2"/>
  <c r="AF182" i="2"/>
  <c r="AM289" i="2"/>
  <c r="AM43" i="2"/>
  <c r="K43" i="2"/>
  <c r="K218" i="2"/>
  <c r="AP219" i="2"/>
  <c r="AP293" i="2"/>
  <c r="AJ265" i="2"/>
  <c r="AK150" i="2"/>
  <c r="AK265" i="2" s="1"/>
  <c r="BG28" i="2"/>
  <c r="BG287" i="2"/>
  <c r="BG37" i="2"/>
  <c r="AF188" i="2"/>
  <c r="AF189" i="2"/>
  <c r="AF152" i="2"/>
  <c r="AF165" i="2" s="1"/>
  <c r="BI17" i="2"/>
  <c r="AG195" i="2"/>
  <c r="AG189" i="2"/>
  <c r="AG286" i="2"/>
  <c r="AG20" i="2"/>
  <c r="AG12" i="2"/>
  <c r="AG13" i="2" s="1"/>
  <c r="AG9" i="2"/>
  <c r="AG194" i="2"/>
  <c r="AG184" i="2"/>
  <c r="AG229" i="2" s="1"/>
  <c r="AG231" i="2" s="1"/>
  <c r="AG183" i="2"/>
  <c r="AG15" i="2"/>
  <c r="AG179" i="2"/>
  <c r="AG187" i="2"/>
  <c r="AG182" i="2"/>
  <c r="BH58" i="2"/>
  <c r="BH52" i="2"/>
  <c r="BH66" i="2"/>
  <c r="K183" i="2"/>
  <c r="K20" i="2"/>
  <c r="K180" i="2" s="1"/>
  <c r="K184" i="2"/>
  <c r="K229" i="2" s="1"/>
  <c r="K182" i="2"/>
  <c r="K28" i="2"/>
  <c r="K16" i="2"/>
  <c r="K11" i="2"/>
  <c r="K187" i="2"/>
  <c r="K194" i="2"/>
  <c r="K195" i="2"/>
  <c r="K38" i="2"/>
  <c r="X44" i="8"/>
  <c r="AA176" i="2"/>
  <c r="L180" i="2"/>
  <c r="AT38" i="2"/>
  <c r="AT222" i="2"/>
  <c r="AT48" i="2"/>
  <c r="AR43" i="2"/>
  <c r="AR289" i="2"/>
  <c r="K161" i="2"/>
  <c r="K165" i="2" s="1"/>
  <c r="L158" i="2"/>
  <c r="L161" i="2" s="1"/>
  <c r="L165" i="2" s="1"/>
  <c r="AU134" i="2"/>
  <c r="R217" i="2"/>
  <c r="Q216" i="2"/>
  <c r="CH205" i="2"/>
  <c r="BN173" i="2"/>
  <c r="BN174" i="2" s="1"/>
  <c r="CK181" i="2"/>
  <c r="CK223" i="2"/>
  <c r="BC42" i="2"/>
  <c r="BC38" i="2"/>
  <c r="BC48" i="2"/>
  <c r="BC222" i="2"/>
  <c r="BC39" i="2"/>
  <c r="BH39" i="2"/>
  <c r="F16" i="2"/>
  <c r="F11" i="2"/>
  <c r="F12" i="2" s="1"/>
  <c r="F20" i="2"/>
  <c r="F28" i="2"/>
  <c r="F38" i="2"/>
  <c r="K9" i="2"/>
  <c r="F43" i="2"/>
  <c r="AE174" i="2"/>
  <c r="Z174" i="2"/>
  <c r="AJ216" i="2"/>
  <c r="AK215" i="2"/>
  <c r="AK216" i="2" s="1"/>
  <c r="S166" i="2"/>
  <c r="S167" i="2" s="1"/>
  <c r="R168" i="2"/>
  <c r="AX165" i="2"/>
  <c r="AX216" i="2"/>
  <c r="Y216" i="2"/>
  <c r="Z215" i="2"/>
  <c r="Z216" i="2" s="1"/>
  <c r="AK292" i="2"/>
  <c r="AK188" i="2"/>
  <c r="AK171" i="2"/>
  <c r="BI291" i="2"/>
  <c r="AW17" i="2"/>
  <c r="BB17" i="2"/>
  <c r="AS222" i="2"/>
  <c r="AS224" i="2" s="1"/>
  <c r="AX39" i="2"/>
  <c r="AS42" i="2"/>
  <c r="AS39" i="2"/>
  <c r="AS38" i="2"/>
  <c r="AS48" i="2"/>
  <c r="BA293" i="2"/>
  <c r="BA219" i="2"/>
  <c r="CO56" i="2"/>
  <c r="Q176" i="2"/>
  <c r="Q173" i="2"/>
  <c r="AY173" i="2"/>
  <c r="AY174" i="2" s="1"/>
  <c r="AY176" i="2"/>
  <c r="AN48" i="2"/>
  <c r="AN42" i="2"/>
  <c r="AN38" i="2"/>
  <c r="AN222" i="2"/>
  <c r="AS30" i="2"/>
  <c r="O174" i="2"/>
  <c r="T174" i="2"/>
  <c r="BH128" i="2"/>
  <c r="I4" i="2"/>
  <c r="G130" i="2"/>
  <c r="G89" i="2"/>
  <c r="AL216" i="2"/>
  <c r="AQ215" i="2"/>
  <c r="AM215" i="2"/>
  <c r="AM217" i="2" s="1"/>
  <c r="AN215" i="2" s="1"/>
  <c r="AV212" i="2"/>
  <c r="AW213" i="2"/>
  <c r="BA213" i="2"/>
  <c r="AJ165" i="2"/>
  <c r="U201" i="2"/>
  <c r="U80" i="2"/>
  <c r="BC174" i="2"/>
  <c r="BH174" i="2"/>
  <c r="BK295" i="2"/>
  <c r="BF97" i="2"/>
  <c r="BF102" i="2" s="1"/>
  <c r="BF211" i="2"/>
  <c r="BF212" i="2" s="1"/>
  <c r="AA151" i="2"/>
  <c r="AA152" i="2" s="1"/>
  <c r="AA165" i="2" s="1"/>
  <c r="AF8" i="8"/>
  <c r="BN176" i="2"/>
  <c r="X168" i="2"/>
  <c r="Y166" i="2"/>
  <c r="F161" i="2"/>
  <c r="F165" i="2" s="1"/>
  <c r="F167" i="2" s="1"/>
  <c r="G155" i="2"/>
  <c r="G161" i="2" s="1"/>
  <c r="G165" i="2" s="1"/>
  <c r="D20" i="2"/>
  <c r="D28" i="2"/>
  <c r="D38" i="2"/>
  <c r="D16" i="2"/>
  <c r="D11" i="2"/>
  <c r="D12" i="2" s="1"/>
  <c r="D43" i="2"/>
  <c r="BC30" i="2"/>
  <c r="BH30" i="2"/>
  <c r="AQ37" i="2"/>
  <c r="AQ28" i="2"/>
  <c r="AQ19" i="2"/>
  <c r="AQ287" i="2"/>
  <c r="BD173" i="2"/>
  <c r="BD176" i="2"/>
  <c r="AI174" i="2"/>
  <c r="AN174" i="2"/>
  <c r="AY152" i="2"/>
  <c r="AZ151" i="2"/>
  <c r="AZ152" i="2" s="1"/>
  <c r="AV19" i="2"/>
  <c r="AV29" i="2"/>
  <c r="AV28" i="2"/>
  <c r="AV287" i="2"/>
  <c r="AV37" i="2"/>
  <c r="AT30" i="2"/>
  <c r="BG213" i="2"/>
  <c r="AV275" i="2"/>
  <c r="AV128" i="2"/>
  <c r="BN42" i="2"/>
  <c r="V190" i="2"/>
  <c r="V191" i="2"/>
  <c r="V41" i="2"/>
  <c r="P41" i="2"/>
  <c r="P191" i="2"/>
  <c r="P190" i="2"/>
  <c r="Q134" i="2"/>
  <c r="CG223" i="2"/>
  <c r="CG181" i="2"/>
  <c r="CH52" i="2"/>
  <c r="N20" i="2"/>
  <c r="N12" i="2"/>
  <c r="N15" i="2"/>
  <c r="N187" i="2"/>
  <c r="N183" i="2"/>
  <c r="N184" i="2"/>
  <c r="N229" i="2" s="1"/>
  <c r="N231" i="2" s="1"/>
  <c r="N189" i="2"/>
  <c r="N195" i="2"/>
  <c r="N182" i="2"/>
  <c r="N194" i="2"/>
  <c r="N179" i="2"/>
  <c r="X215" i="2"/>
  <c r="X216" i="2" s="1"/>
  <c r="AJ173" i="2"/>
  <c r="BE189" i="2"/>
  <c r="BE188" i="2"/>
  <c r="BE152" i="2"/>
  <c r="BE292" i="2"/>
  <c r="BE171" i="2"/>
  <c r="BD216" i="2"/>
  <c r="BD165" i="2"/>
  <c r="O166" i="2"/>
  <c r="O167" i="2" s="1"/>
  <c r="AU38" i="2"/>
  <c r="AU39" i="2"/>
  <c r="AU48" i="2"/>
  <c r="AU58" i="2" s="1"/>
  <c r="AZ39" i="2"/>
  <c r="AU222" i="2"/>
  <c r="AU224" i="2" s="1"/>
  <c r="AU30" i="2"/>
  <c r="AZ30" i="2"/>
  <c r="AO38" i="2"/>
  <c r="AO48" i="2"/>
  <c r="AO222" i="2"/>
  <c r="AO224" i="2" s="1"/>
  <c r="AT39" i="2"/>
  <c r="BD58" i="2"/>
  <c r="BD52" i="2"/>
  <c r="J215" i="2"/>
  <c r="J216" i="2" s="1"/>
  <c r="I216" i="2"/>
  <c r="BK82" i="2"/>
  <c r="BK204" i="2" s="1"/>
  <c r="BG204" i="2"/>
  <c r="BG206" i="2" s="1"/>
  <c r="BK206" i="2" s="1"/>
  <c r="BK208" i="2" s="1"/>
  <c r="AW29" i="2"/>
  <c r="BA27" i="2"/>
  <c r="AW287" i="2"/>
  <c r="AW28" i="2"/>
  <c r="AW37" i="2"/>
  <c r="AJ176" i="2"/>
  <c r="BA128" i="2"/>
  <c r="BA275" i="2"/>
  <c r="BF28" i="2"/>
  <c r="BF287" i="2"/>
  <c r="BF19" i="2"/>
  <c r="BF37" i="2"/>
  <c r="CX80" i="2"/>
  <c r="CR80" i="2"/>
  <c r="CS80" i="2"/>
  <c r="CQ56" i="2"/>
  <c r="CR56" i="2" s="1"/>
  <c r="CS56" i="2" s="1"/>
  <c r="CU56" i="2" s="1"/>
  <c r="AX60" i="8"/>
  <c r="AY60" i="8"/>
  <c r="CJ93" i="2"/>
  <c r="CK93" i="2"/>
  <c r="CL93" i="2" s="1"/>
  <c r="CM93" i="2" s="1"/>
  <c r="CN93" i="2" s="1"/>
  <c r="CF100" i="2"/>
  <c r="CG100" i="2" s="1"/>
  <c r="CH100" i="2" s="1"/>
  <c r="CI100" i="2" s="1"/>
  <c r="CE100" i="2"/>
  <c r="BL128" i="2"/>
  <c r="BK128" i="2"/>
  <c r="BK275" i="2"/>
  <c r="BO119" i="2"/>
  <c r="BG30" i="2" l="1"/>
  <c r="BM66" i="2"/>
  <c r="BB30" i="2"/>
  <c r="M225" i="2"/>
  <c r="AK190" i="2"/>
  <c r="AK41" i="2"/>
  <c r="AP41" i="2"/>
  <c r="L173" i="2"/>
  <c r="AH183" i="2"/>
  <c r="L176" i="2"/>
  <c r="AH9" i="2"/>
  <c r="AH286" i="2"/>
  <c r="P12" i="2"/>
  <c r="P9" i="2"/>
  <c r="P195" i="2"/>
  <c r="P189" i="2"/>
  <c r="P187" i="2"/>
  <c r="P179" i="2"/>
  <c r="U9" i="2"/>
  <c r="AF9" i="2"/>
  <c r="P184" i="2"/>
  <c r="P229" i="2" s="1"/>
  <c r="P231" i="2" s="1"/>
  <c r="P15" i="2"/>
  <c r="P27" i="2" s="1"/>
  <c r="AA20" i="2"/>
  <c r="AA180" i="2" s="1"/>
  <c r="CH135" i="2"/>
  <c r="CM135" i="2" s="1"/>
  <c r="CR135" i="2" s="1"/>
  <c r="CW135" i="2" s="1"/>
  <c r="I168" i="2"/>
  <c r="AP191" i="2"/>
  <c r="BE224" i="2"/>
  <c r="BE279" i="2" s="1"/>
  <c r="H225" i="2"/>
  <c r="CG185" i="2"/>
  <c r="CL185" i="2" s="1"/>
  <c r="CQ185" i="2" s="1"/>
  <c r="CV185" i="2" s="1"/>
  <c r="CF185" i="2"/>
  <c r="CK185" i="2" s="1"/>
  <c r="CP185" i="2" s="1"/>
  <c r="CU185" i="2" s="1"/>
  <c r="BB48" i="2"/>
  <c r="BB52" i="2" s="1"/>
  <c r="BG39" i="2"/>
  <c r="CH185" i="2"/>
  <c r="CM185" i="2" s="1"/>
  <c r="CR185" i="2" s="1"/>
  <c r="CW185" i="2" s="1"/>
  <c r="AC166" i="2"/>
  <c r="AC167" i="2" s="1"/>
  <c r="AC168" i="2" s="1"/>
  <c r="BB42" i="2"/>
  <c r="BB43" i="2" s="1"/>
  <c r="BE290" i="2"/>
  <c r="BB222" i="2"/>
  <c r="BX118" i="2"/>
  <c r="AZ50" i="2"/>
  <c r="AH182" i="2"/>
  <c r="AH179" i="2"/>
  <c r="AH187" i="2"/>
  <c r="AH195" i="2"/>
  <c r="AH194" i="2"/>
  <c r="AH12" i="2"/>
  <c r="AM9" i="2"/>
  <c r="AR61" i="2"/>
  <c r="AH189" i="2"/>
  <c r="AH184" i="2"/>
  <c r="AH229" i="2" s="1"/>
  <c r="AH231" i="2" s="1"/>
  <c r="AH15" i="2"/>
  <c r="AH16" i="2" s="1"/>
  <c r="BE54" i="2"/>
  <c r="AA195" i="2"/>
  <c r="BE181" i="2"/>
  <c r="AF176" i="2"/>
  <c r="BM58" i="2"/>
  <c r="BM60" i="2" s="1"/>
  <c r="CJ113" i="2"/>
  <c r="BV205" i="2"/>
  <c r="BW205" i="2" s="1"/>
  <c r="BW206" i="2" s="1"/>
  <c r="BW208" i="2" s="1"/>
  <c r="BT206" i="2"/>
  <c r="BT208" i="2" s="1"/>
  <c r="AB17" i="2"/>
  <c r="BK293" i="2"/>
  <c r="AK152" i="2"/>
  <c r="BU205" i="2"/>
  <c r="AZ60" i="8"/>
  <c r="BE58" i="8"/>
  <c r="AV60" i="8"/>
  <c r="BN58" i="2"/>
  <c r="BN60" i="2" s="1"/>
  <c r="BN52" i="2"/>
  <c r="BN66" i="2"/>
  <c r="BT117" i="2"/>
  <c r="BV117" i="2" s="1"/>
  <c r="BW117" i="2" s="1"/>
  <c r="BX117" i="2" s="1"/>
  <c r="BY117" i="2" s="1"/>
  <c r="BM43" i="2"/>
  <c r="BM30" i="2"/>
  <c r="BO29" i="2"/>
  <c r="AX43" i="2"/>
  <c r="I9" i="2"/>
  <c r="K22" i="2"/>
  <c r="AA183" i="2"/>
  <c r="AA182" i="2"/>
  <c r="K17" i="2"/>
  <c r="AA189" i="2"/>
  <c r="AA184" i="2"/>
  <c r="AA229" i="2" s="1"/>
  <c r="AA231" i="2" s="1"/>
  <c r="AA15" i="2"/>
  <c r="AA16" i="2" s="1"/>
  <c r="AA12" i="2"/>
  <c r="AF13" i="2" s="1"/>
  <c r="AA187" i="2"/>
  <c r="AA179" i="2"/>
  <c r="AX268" i="2"/>
  <c r="AK189" i="2"/>
  <c r="AZ174" i="2"/>
  <c r="Y167" i="2"/>
  <c r="Y168" i="2" s="1"/>
  <c r="AN217" i="2"/>
  <c r="AO215" i="2" s="1"/>
  <c r="AO217" i="2" s="1"/>
  <c r="AP215" i="2" s="1"/>
  <c r="BM289" i="2"/>
  <c r="AP138" i="2"/>
  <c r="AP268" i="2" s="1"/>
  <c r="V152" i="2"/>
  <c r="V165" i="2" s="1"/>
  <c r="BD289" i="2"/>
  <c r="Z15" i="2"/>
  <c r="Z183" i="2"/>
  <c r="Z187" i="2"/>
  <c r="Z189" i="2"/>
  <c r="Z195" i="2"/>
  <c r="Z184" i="2"/>
  <c r="Z229" i="2" s="1"/>
  <c r="Z231" i="2" s="1"/>
  <c r="Z20" i="2"/>
  <c r="AE9" i="2"/>
  <c r="Z12" i="2"/>
  <c r="AE13" i="2" s="1"/>
  <c r="Z194" i="2"/>
  <c r="Z182" i="2"/>
  <c r="Z179" i="2"/>
  <c r="G20" i="2"/>
  <c r="L22" i="2" s="1"/>
  <c r="G38" i="2"/>
  <c r="G11" i="2"/>
  <c r="G12" i="2" s="1"/>
  <c r="L13" i="2" s="1"/>
  <c r="G28" i="2"/>
  <c r="L30" i="2" s="1"/>
  <c r="G16" i="2"/>
  <c r="L17" i="2" s="1"/>
  <c r="L9" i="2"/>
  <c r="AQ128" i="2"/>
  <c r="U165" i="2"/>
  <c r="BJ260" i="2"/>
  <c r="BE41" i="2"/>
  <c r="BE42" i="2" s="1"/>
  <c r="BE191" i="2"/>
  <c r="BE190" i="2"/>
  <c r="I194" i="2"/>
  <c r="I187" i="2"/>
  <c r="I11" i="2"/>
  <c r="I28" i="2"/>
  <c r="I30" i="2" s="1"/>
  <c r="I183" i="2"/>
  <c r="I195" i="2"/>
  <c r="I189" i="2"/>
  <c r="I184" i="2"/>
  <c r="I229" i="2" s="1"/>
  <c r="I38" i="2"/>
  <c r="I182" i="2"/>
  <c r="I16" i="2"/>
  <c r="I17" i="2" s="1"/>
  <c r="I43" i="2"/>
  <c r="I20" i="2"/>
  <c r="I180" i="2" s="1"/>
  <c r="AB37" i="2"/>
  <c r="AB28" i="2"/>
  <c r="AM6" i="8"/>
  <c r="W37" i="2"/>
  <c r="W28" i="2"/>
  <c r="AB29" i="2"/>
  <c r="AY48" i="2"/>
  <c r="AY50" i="2" s="1"/>
  <c r="AY58" i="2" s="1"/>
  <c r="AY172" i="2" s="1"/>
  <c r="BD39" i="2"/>
  <c r="AY39" i="2"/>
  <c r="AY38" i="2"/>
  <c r="AY42" i="2"/>
  <c r="AY43" i="2" s="1"/>
  <c r="BJ37" i="2"/>
  <c r="BJ287" i="2"/>
  <c r="BJ28" i="2"/>
  <c r="BJ29" i="2"/>
  <c r="AG7" i="8"/>
  <c r="BK6" i="2" s="1"/>
  <c r="BK260" i="2" s="1"/>
  <c r="BK27" i="2"/>
  <c r="BK16" i="2"/>
  <c r="BK17" i="2" s="1"/>
  <c r="BP119" i="2"/>
  <c r="AN9" i="2"/>
  <c r="AI184" i="2"/>
  <c r="AI229" i="2" s="1"/>
  <c r="AI231" i="2" s="1"/>
  <c r="AI179" i="2"/>
  <c r="AI20" i="2"/>
  <c r="AI182" i="2"/>
  <c r="AI286" i="2"/>
  <c r="AI194" i="2"/>
  <c r="AI183" i="2"/>
  <c r="AI9" i="2"/>
  <c r="AI15" i="2"/>
  <c r="AI195" i="2"/>
  <c r="AI12" i="2"/>
  <c r="AN13" i="2" s="1"/>
  <c r="AI187" i="2"/>
  <c r="AI189" i="2"/>
  <c r="AD183" i="2"/>
  <c r="AD194" i="2"/>
  <c r="AD182" i="2"/>
  <c r="AD195" i="2"/>
  <c r="AD189" i="2"/>
  <c r="AD184" i="2"/>
  <c r="AD229" i="2" s="1"/>
  <c r="AD231" i="2" s="1"/>
  <c r="AD12" i="2"/>
  <c r="AD179" i="2"/>
  <c r="AD187" i="2"/>
  <c r="AD9" i="2"/>
  <c r="AD20" i="2"/>
  <c r="AD15" i="2"/>
  <c r="AR290" i="2"/>
  <c r="AR268" i="2"/>
  <c r="K30" i="2"/>
  <c r="AU41" i="2"/>
  <c r="AU42" i="2" s="1"/>
  <c r="AU43" i="2" s="1"/>
  <c r="AU191" i="2"/>
  <c r="AU190" i="2"/>
  <c r="AH27" i="2"/>
  <c r="BH73" i="2"/>
  <c r="BH60" i="2"/>
  <c r="BH132" i="2"/>
  <c r="BH138" i="2" s="1"/>
  <c r="BH172" i="2"/>
  <c r="AG27" i="2"/>
  <c r="AG16" i="2"/>
  <c r="AG17" i="2" s="1"/>
  <c r="BG38" i="2"/>
  <c r="BG222" i="2"/>
  <c r="BG48" i="2"/>
  <c r="BG42" i="2"/>
  <c r="AK15" i="2"/>
  <c r="AK20" i="2"/>
  <c r="AK184" i="2"/>
  <c r="AK229" i="2" s="1"/>
  <c r="AK231" i="2" s="1"/>
  <c r="AK187" i="2"/>
  <c r="AK195" i="2"/>
  <c r="AK183" i="2"/>
  <c r="AK179" i="2"/>
  <c r="AK12" i="2"/>
  <c r="AP9" i="2"/>
  <c r="AK182" i="2"/>
  <c r="AK286" i="2"/>
  <c r="AK9" i="2"/>
  <c r="AK194" i="2"/>
  <c r="AF27" i="2"/>
  <c r="AF16" i="2"/>
  <c r="BI30" i="2"/>
  <c r="BN30" i="2"/>
  <c r="H186" i="2"/>
  <c r="H228" i="2" s="1"/>
  <c r="H12" i="2"/>
  <c r="H185" i="2"/>
  <c r="H179" i="2"/>
  <c r="H192" i="2"/>
  <c r="H193" i="2"/>
  <c r="H230" i="2" s="1"/>
  <c r="AR54" i="2"/>
  <c r="AR75" i="2"/>
  <c r="X222" i="2"/>
  <c r="X48" i="2"/>
  <c r="X42" i="2"/>
  <c r="X43" i="2" s="1"/>
  <c r="CS190" i="2"/>
  <c r="CX190" i="2" s="1"/>
  <c r="AI168" i="2"/>
  <c r="AJ166" i="2"/>
  <c r="AJ167" i="2" s="1"/>
  <c r="AJ168" i="2" s="1"/>
  <c r="AJ8" i="8"/>
  <c r="M30" i="2"/>
  <c r="AM138" i="2"/>
  <c r="AH22" i="2"/>
  <c r="AH180" i="2"/>
  <c r="AM22" i="2"/>
  <c r="BA17" i="2"/>
  <c r="BF17" i="2"/>
  <c r="E16" i="2"/>
  <c r="E38" i="2"/>
  <c r="E28" i="2"/>
  <c r="E11" i="2"/>
  <c r="E12" i="2" s="1"/>
  <c r="E20" i="2"/>
  <c r="E43" i="2"/>
  <c r="AC37" i="2"/>
  <c r="AC28" i="2"/>
  <c r="AC30" i="2" s="1"/>
  <c r="AC29" i="2"/>
  <c r="M192" i="2"/>
  <c r="M179" i="2"/>
  <c r="M193" i="2"/>
  <c r="M230" i="2" s="1"/>
  <c r="M12" i="2"/>
  <c r="M185" i="2"/>
  <c r="M186" i="2"/>
  <c r="M228" i="2" s="1"/>
  <c r="AH13" i="2"/>
  <c r="AM13" i="2"/>
  <c r="AG180" i="2"/>
  <c r="AG22" i="2"/>
  <c r="U12" i="2"/>
  <c r="U183" i="2"/>
  <c r="U15" i="2"/>
  <c r="U184" i="2"/>
  <c r="U229" i="2" s="1"/>
  <c r="U231" i="2" s="1"/>
  <c r="U182" i="2"/>
  <c r="U20" i="2"/>
  <c r="U195" i="2"/>
  <c r="U194" i="2"/>
  <c r="U179" i="2"/>
  <c r="U187" i="2"/>
  <c r="Z9" i="2"/>
  <c r="U189" i="2"/>
  <c r="AY30" i="2"/>
  <c r="BD30" i="2"/>
  <c r="AZ289" i="2"/>
  <c r="AZ43" i="2"/>
  <c r="AU151" i="2"/>
  <c r="AU152" i="2" s="1"/>
  <c r="O29" i="2"/>
  <c r="O28" i="2"/>
  <c r="O37" i="2"/>
  <c r="AE222" i="2"/>
  <c r="AE42" i="2"/>
  <c r="AE48" i="2"/>
  <c r="BL38" i="2"/>
  <c r="BL222" i="2"/>
  <c r="BL42" i="2"/>
  <c r="Y194" i="2"/>
  <c r="Y182" i="2"/>
  <c r="Y183" i="2"/>
  <c r="Y195" i="2"/>
  <c r="Y12" i="2"/>
  <c r="Y15" i="2"/>
  <c r="Y179" i="2"/>
  <c r="Y20" i="2"/>
  <c r="Y180" i="2" s="1"/>
  <c r="Y184" i="2"/>
  <c r="Y229" i="2" s="1"/>
  <c r="Y231" i="2" s="1"/>
  <c r="Y187" i="2"/>
  <c r="Y189" i="2"/>
  <c r="AT52" i="2"/>
  <c r="AT58" i="2"/>
  <c r="AG44" i="8"/>
  <c r="AB44" i="8"/>
  <c r="M17" i="2"/>
  <c r="AT289" i="2"/>
  <c r="AT43" i="2"/>
  <c r="K185" i="2"/>
  <c r="K192" i="2"/>
  <c r="K12" i="2"/>
  <c r="K13" i="2" s="1"/>
  <c r="K179" i="2"/>
  <c r="K193" i="2"/>
  <c r="K230" i="2" s="1"/>
  <c r="K186" i="2"/>
  <c r="K228" i="2" s="1"/>
  <c r="BH181" i="2"/>
  <c r="BH223" i="2"/>
  <c r="BH224" i="2" s="1"/>
  <c r="BI38" i="2"/>
  <c r="BI42" i="2"/>
  <c r="BI48" i="2"/>
  <c r="BI222" i="2"/>
  <c r="BN39" i="2"/>
  <c r="BI39" i="2"/>
  <c r="M22" i="2"/>
  <c r="H180" i="2"/>
  <c r="AT165" i="2"/>
  <c r="AT216" i="2"/>
  <c r="BL30" i="2"/>
  <c r="P180" i="2"/>
  <c r="P22" i="2"/>
  <c r="AQ213" i="2"/>
  <c r="AQ293" i="2"/>
  <c r="AQ219" i="2"/>
  <c r="AF22" i="2"/>
  <c r="CT56" i="2"/>
  <c r="G166" i="2"/>
  <c r="G167" i="2" s="1"/>
  <c r="G168" i="2" s="1"/>
  <c r="F168" i="2"/>
  <c r="BF293" i="2"/>
  <c r="BF219" i="2"/>
  <c r="BK213" i="2"/>
  <c r="S15" i="2"/>
  <c r="S189" i="2"/>
  <c r="S12" i="2"/>
  <c r="S184" i="2"/>
  <c r="S229" i="2" s="1"/>
  <c r="S231" i="2" s="1"/>
  <c r="S179" i="2"/>
  <c r="S20" i="2"/>
  <c r="S9" i="2"/>
  <c r="S187" i="2"/>
  <c r="X9" i="2"/>
  <c r="S182" i="2"/>
  <c r="S194" i="2"/>
  <c r="S183" i="2"/>
  <c r="S195" i="2"/>
  <c r="AO43" i="2"/>
  <c r="AO289" i="2"/>
  <c r="N16" i="2"/>
  <c r="N27" i="2"/>
  <c r="AV39" i="2"/>
  <c r="AV42" i="2"/>
  <c r="AV218" i="2" s="1"/>
  <c r="AU218" i="2" s="1"/>
  <c r="AV222" i="2"/>
  <c r="AV48" i="2"/>
  <c r="AV38" i="2"/>
  <c r="AV21" i="2"/>
  <c r="AV20" i="2"/>
  <c r="AY216" i="2"/>
  <c r="AY165" i="2"/>
  <c r="AV219" i="2"/>
  <c r="AV293" i="2"/>
  <c r="AN52" i="2"/>
  <c r="AS279" i="2"/>
  <c r="AN31" i="8"/>
  <c r="CI205" i="2"/>
  <c r="CJ205" i="2" s="1"/>
  <c r="AW42" i="2"/>
  <c r="AW48" i="2"/>
  <c r="AW39" i="2"/>
  <c r="AW38" i="2"/>
  <c r="AW222" i="2"/>
  <c r="AW224" i="2" s="1"/>
  <c r="AY225" i="2" s="1"/>
  <c r="BD132" i="2"/>
  <c r="BD138" i="2" s="1"/>
  <c r="BD73" i="2"/>
  <c r="BD60" i="2"/>
  <c r="AO279" i="2"/>
  <c r="AS225" i="2"/>
  <c r="AU60" i="2"/>
  <c r="AU172" i="2"/>
  <c r="AU73" i="2"/>
  <c r="AU132" i="2"/>
  <c r="AU138" i="2" s="1"/>
  <c r="BN43" i="2"/>
  <c r="BN289" i="2"/>
  <c r="BD174" i="2"/>
  <c r="BI174" i="2"/>
  <c r="AQ222" i="2"/>
  <c r="AQ48" i="2"/>
  <c r="AQ38" i="2"/>
  <c r="AQ42" i="2"/>
  <c r="CO113" i="2"/>
  <c r="CP113" i="2"/>
  <c r="CQ113" i="2" s="1"/>
  <c r="CR113" i="2" s="1"/>
  <c r="CS113" i="2" s="1"/>
  <c r="AO31" i="8"/>
  <c r="AK173" i="2"/>
  <c r="T166" i="2"/>
  <c r="T167" i="2" s="1"/>
  <c r="S168" i="2"/>
  <c r="BC43" i="2"/>
  <c r="BC289" i="2"/>
  <c r="BK21" i="2"/>
  <c r="BF20" i="2"/>
  <c r="BA28" i="2"/>
  <c r="BA287" i="2"/>
  <c r="BA29" i="2"/>
  <c r="BA19" i="2"/>
  <c r="BA37" i="2"/>
  <c r="BD223" i="2"/>
  <c r="BD224" i="2" s="1"/>
  <c r="BD181" i="2"/>
  <c r="BF42" i="2"/>
  <c r="BF48" i="2"/>
  <c r="BF222" i="2"/>
  <c r="BF38" i="2"/>
  <c r="J184" i="2"/>
  <c r="J229" i="2" s="1"/>
  <c r="J194" i="2"/>
  <c r="J187" i="2"/>
  <c r="J20" i="2"/>
  <c r="J11" i="2"/>
  <c r="J16" i="2"/>
  <c r="J195" i="2"/>
  <c r="J183" i="2"/>
  <c r="J28" i="2"/>
  <c r="J9" i="2"/>
  <c r="J182" i="2"/>
  <c r="J38" i="2"/>
  <c r="J189" i="2"/>
  <c r="O9" i="2"/>
  <c r="J43" i="2"/>
  <c r="AW30" i="2"/>
  <c r="AO50" i="2"/>
  <c r="AO58" i="2" s="1"/>
  <c r="O168" i="2"/>
  <c r="P166" i="2"/>
  <c r="P167" i="2" s="1"/>
  <c r="BE173" i="2"/>
  <c r="BE174" i="2" s="1"/>
  <c r="BE172" i="2"/>
  <c r="AJ174" i="2"/>
  <c r="AO174" i="2"/>
  <c r="BM172" i="2"/>
  <c r="BM73" i="2"/>
  <c r="Q190" i="2"/>
  <c r="Q41" i="2"/>
  <c r="Q191" i="2"/>
  <c r="AV30" i="2"/>
  <c r="AJ15" i="2"/>
  <c r="AJ187" i="2"/>
  <c r="AJ195" i="2"/>
  <c r="AJ12" i="2"/>
  <c r="AJ179" i="2"/>
  <c r="AJ183" i="2"/>
  <c r="AO9" i="2"/>
  <c r="AJ20" i="2"/>
  <c r="AJ286" i="2"/>
  <c r="AJ9" i="2"/>
  <c r="AJ184" i="2"/>
  <c r="AJ229" i="2" s="1"/>
  <c r="AJ231" i="2" s="1"/>
  <c r="AJ182" i="2"/>
  <c r="AJ194" i="2"/>
  <c r="AJ189" i="2"/>
  <c r="R195" i="2"/>
  <c r="R184" i="2"/>
  <c r="R229" i="2" s="1"/>
  <c r="R231" i="2" s="1"/>
  <c r="R183" i="2"/>
  <c r="R187" i="2"/>
  <c r="R15" i="2"/>
  <c r="R9" i="2"/>
  <c r="R179" i="2"/>
  <c r="R194" i="2"/>
  <c r="R182" i="2"/>
  <c r="R12" i="2"/>
  <c r="R20" i="2"/>
  <c r="R189" i="2"/>
  <c r="W9" i="2"/>
  <c r="V174" i="2"/>
  <c r="Q174" i="2"/>
  <c r="AS289" i="2"/>
  <c r="AS43" i="2"/>
  <c r="BB58" i="2"/>
  <c r="CP181" i="2"/>
  <c r="CU52" i="2"/>
  <c r="CP223" i="2"/>
  <c r="CQ52" i="2"/>
  <c r="BF29" i="2"/>
  <c r="AU279" i="2"/>
  <c r="BM223" i="2"/>
  <c r="BM224" i="2" s="1"/>
  <c r="BM181" i="2"/>
  <c r="N180" i="2"/>
  <c r="CH223" i="2"/>
  <c r="CH181" i="2"/>
  <c r="J168" i="2"/>
  <c r="K166" i="2"/>
  <c r="K167" i="2" s="1"/>
  <c r="BD172" i="2"/>
  <c r="AQ20" i="2"/>
  <c r="BF275" i="2"/>
  <c r="BF128" i="2"/>
  <c r="I130" i="2"/>
  <c r="I178" i="2"/>
  <c r="I227" i="2"/>
  <c r="I89" i="2"/>
  <c r="J4" i="2"/>
  <c r="I221" i="2"/>
  <c r="AN289" i="2"/>
  <c r="AN43" i="2"/>
  <c r="AS50" i="2"/>
  <c r="AV50" i="2" s="1"/>
  <c r="BB39" i="2"/>
  <c r="AP42" i="2"/>
  <c r="AT218" i="2" s="1"/>
  <c r="BC52" i="2"/>
  <c r="BC58" i="2"/>
  <c r="CM52" i="2"/>
  <c r="CL181" i="2"/>
  <c r="CL223" i="2"/>
  <c r="W215" i="2"/>
  <c r="W216" i="2" s="1"/>
  <c r="S215" i="2"/>
  <c r="S216" i="2" s="1"/>
  <c r="R216" i="2"/>
  <c r="BE35" i="8"/>
  <c r="BA35" i="8"/>
  <c r="CV56" i="2"/>
  <c r="CW56" i="2" s="1"/>
  <c r="CX56" i="2" s="1"/>
  <c r="BC60" i="8"/>
  <c r="BD60" i="8"/>
  <c r="CP93" i="2"/>
  <c r="CQ93" i="2" s="1"/>
  <c r="CR93" i="2" s="1"/>
  <c r="CS93" i="2" s="1"/>
  <c r="CO93" i="2"/>
  <c r="CK100" i="2"/>
  <c r="CL100" i="2" s="1"/>
  <c r="CM100" i="2" s="1"/>
  <c r="CN100" i="2" s="1"/>
  <c r="CJ100" i="2"/>
  <c r="CH35" i="2"/>
  <c r="CC32" i="2"/>
  <c r="CG35" i="2"/>
  <c r="CB32" i="2"/>
  <c r="CF35" i="2"/>
  <c r="CD32" i="2"/>
  <c r="CA32" i="2"/>
  <c r="AD166" i="2" l="1"/>
  <c r="AD167" i="2" s="1"/>
  <c r="BB289" i="2"/>
  <c r="P16" i="2"/>
  <c r="P17" i="2" s="1"/>
  <c r="BM132" i="2"/>
  <c r="BM138" i="2" s="1"/>
  <c r="BM120" i="2" s="1"/>
  <c r="AP290" i="2"/>
  <c r="BY118" i="2"/>
  <c r="AA27" i="2"/>
  <c r="AA37" i="2" s="1"/>
  <c r="BD218" i="2"/>
  <c r="BA36" i="8"/>
  <c r="BN132" i="2"/>
  <c r="BN138" i="2" s="1"/>
  <c r="BN268" i="2" s="1"/>
  <c r="BN172" i="2"/>
  <c r="BF64" i="2"/>
  <c r="BF39" i="2"/>
  <c r="AR11" i="8"/>
  <c r="AR7" i="8"/>
  <c r="AZ58" i="2"/>
  <c r="Z166" i="2"/>
  <c r="Z167" i="2" s="1"/>
  <c r="AA166" i="2" s="1"/>
  <c r="AA167" i="2" s="1"/>
  <c r="AA168" i="2" s="1"/>
  <c r="AM11" i="8"/>
  <c r="BJ58" i="8"/>
  <c r="BE60" i="8"/>
  <c r="BN181" i="2"/>
  <c r="BN223" i="2"/>
  <c r="BN224" i="2" s="1"/>
  <c r="BU117" i="2"/>
  <c r="BJ38" i="2"/>
  <c r="AO10" i="8"/>
  <c r="AM39" i="8"/>
  <c r="BJ30" i="2"/>
  <c r="BO30" i="2"/>
  <c r="BB218" i="2"/>
  <c r="AY73" i="2"/>
  <c r="AY54" i="2" s="1"/>
  <c r="AB30" i="2"/>
  <c r="BQ5" i="2"/>
  <c r="AF17" i="2"/>
  <c r="N22" i="2"/>
  <c r="H231" i="2"/>
  <c r="I22" i="2"/>
  <c r="AK166" i="2"/>
  <c r="Z27" i="2"/>
  <c r="Z16" i="2"/>
  <c r="AE17" i="2" s="1"/>
  <c r="Z180" i="2"/>
  <c r="AE22" i="2"/>
  <c r="N17" i="2"/>
  <c r="AB48" i="2"/>
  <c r="AB42" i="2"/>
  <c r="AB222" i="2"/>
  <c r="I185" i="2"/>
  <c r="I193" i="2"/>
  <c r="I230" i="2" s="1"/>
  <c r="I186" i="2"/>
  <c r="I228" i="2" s="1"/>
  <c r="I192" i="2"/>
  <c r="I12" i="2"/>
  <c r="I179" i="2"/>
  <c r="BE43" i="2"/>
  <c r="BE289" i="2"/>
  <c r="BG218" i="2"/>
  <c r="P13" i="2"/>
  <c r="W48" i="2"/>
  <c r="W42" i="2"/>
  <c r="AB39" i="2"/>
  <c r="W222" i="2"/>
  <c r="M231" i="2"/>
  <c r="AO6" i="8"/>
  <c r="AY132" i="2"/>
  <c r="AY138" i="2" s="1"/>
  <c r="AY290" i="2" s="1"/>
  <c r="AY60" i="2"/>
  <c r="BD61" i="2" s="1"/>
  <c r="BC218" i="2"/>
  <c r="AY289" i="2"/>
  <c r="BJ222" i="2"/>
  <c r="BJ39" i="2"/>
  <c r="BJ48" i="2"/>
  <c r="BJ42" i="2"/>
  <c r="AU289" i="2"/>
  <c r="BK29" i="2"/>
  <c r="BK287" i="2"/>
  <c r="BK28" i="2"/>
  <c r="BK37" i="2"/>
  <c r="AK39" i="8"/>
  <c r="BL66" i="2"/>
  <c r="BL58" i="2"/>
  <c r="BL52" i="2"/>
  <c r="AK16" i="2"/>
  <c r="AK27" i="2"/>
  <c r="AI13" i="2"/>
  <c r="AD13" i="2"/>
  <c r="BI43" i="2"/>
  <c r="BI289" i="2"/>
  <c r="BI218" i="2"/>
  <c r="K231" i="2"/>
  <c r="AK34" i="8"/>
  <c r="AU165" i="2"/>
  <c r="AU216" i="2"/>
  <c r="BN260" i="2"/>
  <c r="X58" i="2"/>
  <c r="X52" i="2"/>
  <c r="AK180" i="2"/>
  <c r="AK22" i="2"/>
  <c r="AP22" i="2"/>
  <c r="BG66" i="2"/>
  <c r="BG52" i="2"/>
  <c r="BG58" i="2"/>
  <c r="AG28" i="2"/>
  <c r="AG30" i="2" s="1"/>
  <c r="AG37" i="2"/>
  <c r="AG29" i="2"/>
  <c r="AG287" i="2"/>
  <c r="BH75" i="2"/>
  <c r="BH54" i="2"/>
  <c r="AD16" i="2"/>
  <c r="AD27" i="2"/>
  <c r="AI180" i="2"/>
  <c r="AN22" i="2"/>
  <c r="AI22" i="2"/>
  <c r="Q195" i="2"/>
  <c r="Q20" i="2"/>
  <c r="Q187" i="2"/>
  <c r="Q15" i="2"/>
  <c r="Q179" i="2"/>
  <c r="Q194" i="2"/>
  <c r="Q9" i="2"/>
  <c r="Q182" i="2"/>
  <c r="Q183" i="2"/>
  <c r="Q12" i="2"/>
  <c r="Q13" i="2" s="1"/>
  <c r="Q184" i="2"/>
  <c r="Q229" i="2" s="1"/>
  <c r="Q231" i="2" s="1"/>
  <c r="Q189" i="2"/>
  <c r="P28" i="2"/>
  <c r="P30" i="2" s="1"/>
  <c r="P37" i="2"/>
  <c r="P29" i="2"/>
  <c r="AE58" i="2"/>
  <c r="AE52" i="2"/>
  <c r="O39" i="2"/>
  <c r="O42" i="2"/>
  <c r="O43" i="2" s="1"/>
  <c r="O48" i="2"/>
  <c r="O38" i="2"/>
  <c r="O222" i="2"/>
  <c r="AF28" i="2"/>
  <c r="AF37" i="2"/>
  <c r="AD180" i="2"/>
  <c r="AD22" i="2"/>
  <c r="AV52" i="2"/>
  <c r="AV181" i="2" s="1"/>
  <c r="BH279" i="2"/>
  <c r="AT132" i="2"/>
  <c r="AT138" i="2" s="1"/>
  <c r="AT60" i="2"/>
  <c r="AT172" i="2"/>
  <c r="AT73" i="2"/>
  <c r="Y16" i="2"/>
  <c r="Y27" i="2"/>
  <c r="BL289" i="2"/>
  <c r="BL43" i="2"/>
  <c r="AE43" i="2"/>
  <c r="U22" i="2"/>
  <c r="U180" i="2"/>
  <c r="Z22" i="2"/>
  <c r="AC42" i="2"/>
  <c r="AC48" i="2"/>
  <c r="AC222" i="2"/>
  <c r="AC39" i="2"/>
  <c r="AM268" i="2"/>
  <c r="AM290" i="2"/>
  <c r="AK13" i="2"/>
  <c r="AP13" i="2"/>
  <c r="BH290" i="2"/>
  <c r="BH268" i="2"/>
  <c r="AH29" i="2"/>
  <c r="AH37" i="2"/>
  <c r="AH287" i="2"/>
  <c r="AH28" i="2"/>
  <c r="AM29" i="2"/>
  <c r="AI27" i="2"/>
  <c r="AI16" i="2"/>
  <c r="U16" i="2"/>
  <c r="U27" i="2"/>
  <c r="V187" i="2"/>
  <c r="V12" i="2"/>
  <c r="V20" i="2"/>
  <c r="V15" i="2"/>
  <c r="V183" i="2"/>
  <c r="V179" i="2"/>
  <c r="V195" i="2"/>
  <c r="V184" i="2"/>
  <c r="V229" i="2" s="1"/>
  <c r="V231" i="2" s="1"/>
  <c r="V194" i="2"/>
  <c r="V182" i="2"/>
  <c r="V9" i="2"/>
  <c r="V189" i="2"/>
  <c r="AA9" i="2"/>
  <c r="BI52" i="2"/>
  <c r="BI66" i="2"/>
  <c r="BI58" i="2"/>
  <c r="AT181" i="2"/>
  <c r="AT223" i="2"/>
  <c r="AT224" i="2" s="1"/>
  <c r="U13" i="2"/>
  <c r="Z13" i="2"/>
  <c r="AL15" i="2"/>
  <c r="AL16" i="2" s="1"/>
  <c r="AL179" i="2"/>
  <c r="AQ9" i="2"/>
  <c r="AL286" i="2"/>
  <c r="AL182" i="2"/>
  <c r="AL12" i="2"/>
  <c r="AL189" i="2"/>
  <c r="AL9" i="2"/>
  <c r="AL183" i="2"/>
  <c r="AL194" i="2"/>
  <c r="AL187" i="2"/>
  <c r="AL184" i="2"/>
  <c r="AL229" i="2" s="1"/>
  <c r="AL231" i="2" s="1"/>
  <c r="AL195" i="2"/>
  <c r="M13" i="2"/>
  <c r="BG43" i="2"/>
  <c r="BG289" i="2"/>
  <c r="BH218" i="2"/>
  <c r="AM17" i="2"/>
  <c r="AH17" i="2"/>
  <c r="AS280" i="2"/>
  <c r="AO60" i="2"/>
  <c r="AO132" i="2"/>
  <c r="AO172" i="2"/>
  <c r="AQ180" i="2"/>
  <c r="R13" i="2"/>
  <c r="W13" i="2"/>
  <c r="AJ27" i="2"/>
  <c r="AJ16" i="2"/>
  <c r="Q166" i="2"/>
  <c r="Q167" i="2" s="1"/>
  <c r="Q168" i="2" s="1"/>
  <c r="P168" i="2"/>
  <c r="J17" i="2"/>
  <c r="O17" i="2"/>
  <c r="BA20" i="2"/>
  <c r="BF22" i="2" s="1"/>
  <c r="BA21" i="2"/>
  <c r="BA30" i="2"/>
  <c r="BD268" i="2"/>
  <c r="BD290" i="2"/>
  <c r="CM181" i="2"/>
  <c r="CM223" i="2"/>
  <c r="BX205" i="2"/>
  <c r="K4" i="2"/>
  <c r="J227" i="2"/>
  <c r="J130" i="2"/>
  <c r="J89" i="2"/>
  <c r="J221" i="2"/>
  <c r="J178" i="2"/>
  <c r="AS218" i="2"/>
  <c r="R180" i="2"/>
  <c r="R22" i="2"/>
  <c r="W22" i="2"/>
  <c r="BM61" i="2"/>
  <c r="BA38" i="2"/>
  <c r="BA48" i="2"/>
  <c r="BA42" i="2"/>
  <c r="BA39" i="2"/>
  <c r="BA222" i="2"/>
  <c r="BF21" i="2"/>
  <c r="U166" i="2"/>
  <c r="U167" i="2" s="1"/>
  <c r="T168" i="2"/>
  <c r="AK29" i="8"/>
  <c r="AU61" i="2"/>
  <c r="BD54" i="2"/>
  <c r="BD75" i="2"/>
  <c r="BO122" i="2"/>
  <c r="AV289" i="2"/>
  <c r="AV43" i="2"/>
  <c r="S13" i="2"/>
  <c r="X13" i="2"/>
  <c r="K168" i="2"/>
  <c r="L166" i="2"/>
  <c r="L167" i="2" s="1"/>
  <c r="L168" i="2" s="1"/>
  <c r="BB60" i="2"/>
  <c r="BB172" i="2"/>
  <c r="BB73" i="2"/>
  <c r="BB132" i="2"/>
  <c r="BB138" i="2" s="1"/>
  <c r="BN92" i="2"/>
  <c r="BC181" i="2"/>
  <c r="BC223" i="2"/>
  <c r="BC224" i="2" s="1"/>
  <c r="AS58" i="2"/>
  <c r="T179" i="2"/>
  <c r="T184" i="2"/>
  <c r="T229" i="2" s="1"/>
  <c r="T231" i="2" s="1"/>
  <c r="T183" i="2"/>
  <c r="T15" i="2"/>
  <c r="T182" i="2"/>
  <c r="T194" i="2"/>
  <c r="T12" i="2"/>
  <c r="T189" i="2"/>
  <c r="T20" i="2"/>
  <c r="T195" i="2"/>
  <c r="T187" i="2"/>
  <c r="Y9" i="2"/>
  <c r="T9" i="2"/>
  <c r="BB223" i="2"/>
  <c r="BB224" i="2" s="1"/>
  <c r="BB181" i="2"/>
  <c r="R27" i="2"/>
  <c r="R16" i="2"/>
  <c r="AJ22" i="2"/>
  <c r="AO22" i="2"/>
  <c r="AJ180" i="2"/>
  <c r="AJ13" i="2"/>
  <c r="AO13" i="2"/>
  <c r="BM54" i="2"/>
  <c r="BM75" i="2"/>
  <c r="J30" i="2"/>
  <c r="O30" i="2"/>
  <c r="J186" i="2"/>
  <c r="J228" i="2" s="1"/>
  <c r="J193" i="2"/>
  <c r="J230" i="2" s="1"/>
  <c r="J12" i="2"/>
  <c r="J192" i="2"/>
  <c r="J185" i="2"/>
  <c r="J179" i="2"/>
  <c r="BK22" i="2"/>
  <c r="BF180" i="2"/>
  <c r="AU54" i="2"/>
  <c r="AU75" i="2"/>
  <c r="BL208" i="2"/>
  <c r="AW50" i="2"/>
  <c r="BA50" i="2" s="1"/>
  <c r="AV180" i="2"/>
  <c r="AV22" i="2"/>
  <c r="AV58" i="2"/>
  <c r="N29" i="2"/>
  <c r="N28" i="2"/>
  <c r="N30" i="2" s="1"/>
  <c r="N37" i="2"/>
  <c r="S16" i="2"/>
  <c r="S27" i="2"/>
  <c r="BC60" i="2"/>
  <c r="BC73" i="2"/>
  <c r="BC132" i="2"/>
  <c r="BC138" i="2" s="1"/>
  <c r="BC172" i="2"/>
  <c r="AP43" i="2"/>
  <c r="AR218" i="2"/>
  <c r="AP289" i="2"/>
  <c r="CR52" i="2"/>
  <c r="CQ181" i="2"/>
  <c r="CQ223" i="2"/>
  <c r="BF43" i="2"/>
  <c r="BF289" i="2"/>
  <c r="AU268" i="2"/>
  <c r="AU290" i="2"/>
  <c r="CK205" i="2"/>
  <c r="CD135" i="2"/>
  <c r="CI135" i="2" s="1"/>
  <c r="S180" i="2"/>
  <c r="X22" i="2"/>
  <c r="S22" i="2"/>
  <c r="CU223" i="2"/>
  <c r="CV52" i="2"/>
  <c r="CU181" i="2"/>
  <c r="J180" i="2"/>
  <c r="J22" i="2"/>
  <c r="O22" i="2"/>
  <c r="BF30" i="2"/>
  <c r="BF58" i="2"/>
  <c r="BF52" i="2"/>
  <c r="BF66" i="2"/>
  <c r="BD279" i="2"/>
  <c r="AK174" i="2"/>
  <c r="AP174" i="2"/>
  <c r="AL31" i="8"/>
  <c r="CT113" i="2"/>
  <c r="CU113" i="2"/>
  <c r="CV113" i="2" s="1"/>
  <c r="CW113" i="2" s="1"/>
  <c r="CX113" i="2" s="1"/>
  <c r="CY113" i="2" s="1"/>
  <c r="AQ43" i="2"/>
  <c r="AQ289" i="2"/>
  <c r="AQ218" i="2"/>
  <c r="AP218" i="2" s="1"/>
  <c r="AQ270" i="2"/>
  <c r="AE166" i="2"/>
  <c r="AE167" i="2" s="1"/>
  <c r="AD168" i="2"/>
  <c r="BM81" i="2"/>
  <c r="BM82" i="2" s="1"/>
  <c r="BL86" i="2"/>
  <c r="AW279" i="2"/>
  <c r="AZ280" i="2" s="1"/>
  <c r="AZ225" i="2"/>
  <c r="AW289" i="2"/>
  <c r="AW43" i="2"/>
  <c r="AX218" i="2"/>
  <c r="AW218" i="2"/>
  <c r="AY218" i="2"/>
  <c r="AN181" i="2"/>
  <c r="AN50" i="2"/>
  <c r="AN223" i="2"/>
  <c r="AN224" i="2" s="1"/>
  <c r="BF218" i="2"/>
  <c r="BF35" i="8"/>
  <c r="BF36" i="8" s="1"/>
  <c r="BJ35" i="8"/>
  <c r="AR31" i="8"/>
  <c r="CY56" i="2"/>
  <c r="BH60" i="8"/>
  <c r="BI60" i="8"/>
  <c r="CU93" i="2"/>
  <c r="CV93" i="2" s="1"/>
  <c r="CW93" i="2" s="1"/>
  <c r="CX93" i="2" s="1"/>
  <c r="CY93" i="2" s="1"/>
  <c r="CT93" i="2"/>
  <c r="CP100" i="2"/>
  <c r="CQ100" i="2" s="1"/>
  <c r="CR100" i="2" s="1"/>
  <c r="CS100" i="2" s="1"/>
  <c r="CO100" i="2"/>
  <c r="CM35" i="2"/>
  <c r="CH32" i="2"/>
  <c r="CF32" i="2"/>
  <c r="CK35" i="2"/>
  <c r="CI35" i="2"/>
  <c r="CI32" i="2" s="1"/>
  <c r="CL35" i="2"/>
  <c r="CG32" i="2"/>
  <c r="CE32" i="2"/>
  <c r="AT23" i="8" l="1"/>
  <c r="AV23" i="8" s="1"/>
  <c r="AT11" i="8"/>
  <c r="AT10" i="8"/>
  <c r="AF29" i="2"/>
  <c r="AT7" i="8"/>
  <c r="AA28" i="2"/>
  <c r="BN290" i="2"/>
  <c r="BZ118" i="2"/>
  <c r="CA118" i="2"/>
  <c r="CB118" i="2" s="1"/>
  <c r="CC118" i="2" s="1"/>
  <c r="CD118" i="2" s="1"/>
  <c r="Z168" i="2"/>
  <c r="AS31" i="8"/>
  <c r="AM44" i="8"/>
  <c r="AR44" i="8"/>
  <c r="AZ172" i="2"/>
  <c r="AZ73" i="2"/>
  <c r="AZ60" i="2"/>
  <c r="AZ132" i="2"/>
  <c r="AZ138" i="2" s="1"/>
  <c r="BV6" i="2"/>
  <c r="AK44" i="8"/>
  <c r="BO58" i="8"/>
  <c r="BJ60" i="8"/>
  <c r="BM204" i="2"/>
  <c r="BM206" i="2" s="1"/>
  <c r="BM208" i="2" s="1"/>
  <c r="BP82" i="2"/>
  <c r="BP204" i="2" s="1"/>
  <c r="BU101" i="2"/>
  <c r="AN6" i="8"/>
  <c r="BQ194" i="2"/>
  <c r="BQ187" i="2"/>
  <c r="BQ183" i="2"/>
  <c r="BQ189" i="2"/>
  <c r="AY75" i="2"/>
  <c r="BQ12" i="2"/>
  <c r="BQ15" i="2"/>
  <c r="BQ182" i="2"/>
  <c r="AY268" i="2"/>
  <c r="BQ286" i="2"/>
  <c r="BQ9" i="2"/>
  <c r="BQ195" i="2"/>
  <c r="BQ188" i="2"/>
  <c r="BJ58" i="2"/>
  <c r="BJ66" i="2"/>
  <c r="BJ52" i="2"/>
  <c r="AY61" i="2"/>
  <c r="BM290" i="2"/>
  <c r="BM268" i="2"/>
  <c r="I231" i="2"/>
  <c r="Z28" i="2"/>
  <c r="AE30" i="2" s="1"/>
  <c r="AE29" i="2"/>
  <c r="Z37" i="2"/>
  <c r="AB58" i="2"/>
  <c r="AB52" i="2"/>
  <c r="N13" i="2"/>
  <c r="I13" i="2"/>
  <c r="AB218" i="2"/>
  <c r="AA218" i="2" s="1"/>
  <c r="AB43" i="2"/>
  <c r="AB270" i="2"/>
  <c r="W58" i="2"/>
  <c r="W52" i="2"/>
  <c r="AF30" i="2"/>
  <c r="AO28" i="8"/>
  <c r="BP122" i="2"/>
  <c r="BR122" i="2" s="1"/>
  <c r="AO11" i="8"/>
  <c r="BX6" i="2"/>
  <c r="BS5" i="2"/>
  <c r="W43" i="2"/>
  <c r="W270" i="2"/>
  <c r="W218" i="2"/>
  <c r="V218" i="2" s="1"/>
  <c r="BM218" i="2"/>
  <c r="BJ43" i="2"/>
  <c r="BL218" i="2"/>
  <c r="BJ289" i="2"/>
  <c r="BK30" i="2"/>
  <c r="BK222" i="2"/>
  <c r="BK38" i="2"/>
  <c r="BK39" i="2"/>
  <c r="BK42" i="2"/>
  <c r="BK48" i="2"/>
  <c r="BO9" i="2"/>
  <c r="AL6" i="8"/>
  <c r="AL13" i="2"/>
  <c r="AQ13" i="2"/>
  <c r="U17" i="2"/>
  <c r="Z17" i="2"/>
  <c r="AE181" i="2"/>
  <c r="AE223" i="2"/>
  <c r="AE224" i="2" s="1"/>
  <c r="AV223" i="2"/>
  <c r="AV224" i="2" s="1"/>
  <c r="AV279" i="2" s="1"/>
  <c r="AV280" i="2" s="1"/>
  <c r="AT279" i="2"/>
  <c r="AX280" i="2" s="1"/>
  <c r="AT225" i="2"/>
  <c r="AU225" i="2"/>
  <c r="AX225" i="2"/>
  <c r="AW225" i="2"/>
  <c r="BI132" i="2"/>
  <c r="BI138" i="2" s="1"/>
  <c r="BI60" i="2"/>
  <c r="BI73" i="2"/>
  <c r="BI172" i="2"/>
  <c r="V180" i="2"/>
  <c r="V22" i="2"/>
  <c r="AA22" i="2"/>
  <c r="U28" i="2"/>
  <c r="U37" i="2"/>
  <c r="U29" i="2"/>
  <c r="Z29" i="2"/>
  <c r="AF42" i="2"/>
  <c r="AF43" i="2" s="1"/>
  <c r="AF39" i="2"/>
  <c r="AF222" i="2"/>
  <c r="AF48" i="2"/>
  <c r="P222" i="2"/>
  <c r="P39" i="2"/>
  <c r="P38" i="2"/>
  <c r="P48" i="2"/>
  <c r="P42" i="2"/>
  <c r="P43" i="2" s="1"/>
  <c r="Q16" i="2"/>
  <c r="Q17" i="2" s="1"/>
  <c r="Q27" i="2"/>
  <c r="BG223" i="2"/>
  <c r="BG224" i="2" s="1"/>
  <c r="BG225" i="2" s="1"/>
  <c r="BG181" i="2"/>
  <c r="V13" i="2"/>
  <c r="AA13" i="2"/>
  <c r="AN17" i="2"/>
  <c r="AI17" i="2"/>
  <c r="AH39" i="2"/>
  <c r="AH42" i="2"/>
  <c r="AH222" i="2"/>
  <c r="AH38" i="2"/>
  <c r="AH48" i="2"/>
  <c r="AM39" i="2"/>
  <c r="AT268" i="2"/>
  <c r="AT290" i="2"/>
  <c r="AD37" i="2"/>
  <c r="AD29" i="2"/>
  <c r="AD28" i="2"/>
  <c r="AG48" i="2"/>
  <c r="AG222" i="2"/>
  <c r="AG39" i="2"/>
  <c r="AG42" i="2"/>
  <c r="BE218" i="2"/>
  <c r="BA52" i="2"/>
  <c r="BA223" i="2" s="1"/>
  <c r="BA224" i="2" s="1"/>
  <c r="AA42" i="2"/>
  <c r="AA48" i="2"/>
  <c r="AA222" i="2"/>
  <c r="AL17" i="2"/>
  <c r="AQ17" i="2"/>
  <c r="BI223" i="2"/>
  <c r="BI224" i="2" s="1"/>
  <c r="BI181" i="2"/>
  <c r="AI29" i="2"/>
  <c r="AI28" i="2"/>
  <c r="AI37" i="2"/>
  <c r="AI287" i="2"/>
  <c r="AN29" i="2"/>
  <c r="AH30" i="2"/>
  <c r="AM30" i="2"/>
  <c r="AC58" i="2"/>
  <c r="AC52" i="2"/>
  <c r="Y28" i="2"/>
  <c r="Y37" i="2"/>
  <c r="AT54" i="2"/>
  <c r="AT75" i="2"/>
  <c r="O58" i="2"/>
  <c r="O52" i="2"/>
  <c r="AE132" i="2"/>
  <c r="AE138" i="2" s="1"/>
  <c r="AE268" i="2" s="1"/>
  <c r="AE60" i="2"/>
  <c r="AE172" i="2"/>
  <c r="AE73" i="2"/>
  <c r="Q22" i="2"/>
  <c r="Q180" i="2"/>
  <c r="AD17" i="2"/>
  <c r="X223" i="2"/>
  <c r="X224" i="2" s="1"/>
  <c r="X181" i="2"/>
  <c r="AK287" i="2"/>
  <c r="AK37" i="2"/>
  <c r="AK28" i="2"/>
  <c r="AP29" i="2"/>
  <c r="AK29" i="2"/>
  <c r="BL181" i="2"/>
  <c r="BL223" i="2"/>
  <c r="BL224" i="2" s="1"/>
  <c r="J231" i="2"/>
  <c r="V27" i="2"/>
  <c r="V16" i="2"/>
  <c r="AC43" i="2"/>
  <c r="BG132" i="2"/>
  <c r="BG138" i="2" s="1"/>
  <c r="BG73" i="2"/>
  <c r="BG60" i="2"/>
  <c r="BG172" i="2"/>
  <c r="X172" i="2"/>
  <c r="X132" i="2"/>
  <c r="X138" i="2" s="1"/>
  <c r="X268" i="2" s="1"/>
  <c r="X73" i="2"/>
  <c r="X60" i="2"/>
  <c r="AK17" i="2"/>
  <c r="AP17" i="2"/>
  <c r="BL60" i="2"/>
  <c r="BL132" i="2"/>
  <c r="BL138" i="2" s="1"/>
  <c r="BL73" i="2"/>
  <c r="BL172" i="2"/>
  <c r="U168" i="2"/>
  <c r="V166" i="2"/>
  <c r="V167" i="2" s="1"/>
  <c r="V168" i="2" s="1"/>
  <c r="AT61" i="2"/>
  <c r="AF166" i="2"/>
  <c r="AF167" i="2" s="1"/>
  <c r="AF168" i="2" s="1"/>
  <c r="AE168" i="2"/>
  <c r="AL29" i="8"/>
  <c r="BF73" i="2"/>
  <c r="BF60" i="2"/>
  <c r="BF172" i="2"/>
  <c r="BF132" i="2"/>
  <c r="BF138" i="2" s="1"/>
  <c r="AW18" i="8"/>
  <c r="R37" i="2"/>
  <c r="R29" i="2"/>
  <c r="W29" i="2"/>
  <c r="R28" i="2"/>
  <c r="T22" i="2"/>
  <c r="T180" i="2"/>
  <c r="Y22" i="2"/>
  <c r="AS60" i="2"/>
  <c r="AS172" i="2"/>
  <c r="AS73" i="2"/>
  <c r="AS132" i="2"/>
  <c r="AS138" i="2" s="1"/>
  <c r="BC279" i="2"/>
  <c r="BN97" i="2"/>
  <c r="BN211" i="2"/>
  <c r="BN212" i="2" s="1"/>
  <c r="BN219" i="2" s="1"/>
  <c r="BB268" i="2"/>
  <c r="BB290" i="2"/>
  <c r="AN279" i="2"/>
  <c r="AR225" i="2"/>
  <c r="AP225" i="2"/>
  <c r="CE135" i="2"/>
  <c r="BC268" i="2"/>
  <c r="BC290" i="2"/>
  <c r="N42" i="2"/>
  <c r="N222" i="2"/>
  <c r="N39" i="2"/>
  <c r="N38" i="2"/>
  <c r="N48" i="2"/>
  <c r="J13" i="2"/>
  <c r="O13" i="2"/>
  <c r="T16" i="2"/>
  <c r="T27" i="2"/>
  <c r="BB75" i="2"/>
  <c r="BB54" i="2"/>
  <c r="BO287" i="2"/>
  <c r="BQ179" i="2"/>
  <c r="AQ50" i="2"/>
  <c r="AN58" i="2"/>
  <c r="CR181" i="2"/>
  <c r="CR223" i="2"/>
  <c r="BC54" i="2"/>
  <c r="BC75" i="2"/>
  <c r="S37" i="2"/>
  <c r="S28" i="2"/>
  <c r="S29" i="2"/>
  <c r="X29" i="2"/>
  <c r="AW58" i="2"/>
  <c r="AP31" i="8"/>
  <c r="BE225" i="2"/>
  <c r="BB279" i="2"/>
  <c r="BB225" i="2"/>
  <c r="BD225" i="2"/>
  <c r="BC225" i="2"/>
  <c r="Y13" i="2"/>
  <c r="T13" i="2"/>
  <c r="BA58" i="2"/>
  <c r="L4" i="2"/>
  <c r="K178" i="2"/>
  <c r="K89" i="2"/>
  <c r="K227" i="2"/>
  <c r="K130" i="2"/>
  <c r="K221" i="2"/>
  <c r="BY205" i="2"/>
  <c r="BA180" i="2"/>
  <c r="BA22" i="2"/>
  <c r="AO17" i="2"/>
  <c r="AJ17" i="2"/>
  <c r="BF181" i="2"/>
  <c r="BF223" i="2"/>
  <c r="BF224" i="2" s="1"/>
  <c r="CW52" i="2"/>
  <c r="CV223" i="2"/>
  <c r="CV181" i="2"/>
  <c r="CL205" i="2"/>
  <c r="BC61" i="2"/>
  <c r="BH61" i="2"/>
  <c r="X17" i="2"/>
  <c r="S17" i="2"/>
  <c r="AV60" i="2"/>
  <c r="AV132" i="2"/>
  <c r="AV138" i="2" s="1"/>
  <c r="AV172" i="2"/>
  <c r="AV73" i="2"/>
  <c r="R17" i="2"/>
  <c r="W17" i="2"/>
  <c r="BA43" i="2"/>
  <c r="BA289" i="2"/>
  <c r="BA218" i="2"/>
  <c r="AY280" i="2"/>
  <c r="AJ37" i="2"/>
  <c r="AL27" i="2"/>
  <c r="AJ287" i="2"/>
  <c r="AJ28" i="2"/>
  <c r="AJ29" i="2"/>
  <c r="AO29" i="2"/>
  <c r="AO138" i="2"/>
  <c r="BO35" i="8"/>
  <c r="BK35" i="8"/>
  <c r="BK36" i="8" s="1"/>
  <c r="BR60" i="8"/>
  <c r="BM60" i="8"/>
  <c r="BS60" i="8"/>
  <c r="BN60" i="8"/>
  <c r="CU100" i="2"/>
  <c r="CV100" i="2" s="1"/>
  <c r="CW100" i="2" s="1"/>
  <c r="CX100" i="2" s="1"/>
  <c r="CY100" i="2" s="1"/>
  <c r="CT100" i="2"/>
  <c r="CM32" i="2"/>
  <c r="CR35" i="2"/>
  <c r="CP35" i="2"/>
  <c r="CN35" i="2"/>
  <c r="CN32" i="2" s="1"/>
  <c r="CK32" i="2"/>
  <c r="CJ32" i="2"/>
  <c r="CE137" i="2"/>
  <c r="CQ35" i="2"/>
  <c r="CL32" i="2"/>
  <c r="CE118" i="2" l="1"/>
  <c r="CF118" i="2"/>
  <c r="CG118" i="2" s="1"/>
  <c r="CH118" i="2" s="1"/>
  <c r="CI118" i="2" s="1"/>
  <c r="BG61" i="2"/>
  <c r="BX260" i="2"/>
  <c r="CA101" i="2"/>
  <c r="CB101" i="2" s="1"/>
  <c r="CC101" i="2" s="1"/>
  <c r="CD101" i="2" s="1"/>
  <c r="CE101" i="2" s="1"/>
  <c r="CF101" i="2" s="1"/>
  <c r="CG101" i="2" s="1"/>
  <c r="CH101" i="2" s="1"/>
  <c r="CI101" i="2" s="1"/>
  <c r="CJ101" i="2" s="1"/>
  <c r="BK64" i="2"/>
  <c r="AZ268" i="2"/>
  <c r="AZ290" i="2"/>
  <c r="BV260" i="2"/>
  <c r="BE61" i="2"/>
  <c r="AZ61" i="2"/>
  <c r="BS20" i="2"/>
  <c r="BS22" i="2" s="1"/>
  <c r="AZ54" i="2"/>
  <c r="AZ75" i="2"/>
  <c r="AL42" i="8"/>
  <c r="AS7" i="8"/>
  <c r="BP206" i="2"/>
  <c r="BP208" i="2" s="1"/>
  <c r="BT6" i="2"/>
  <c r="BT58" i="8"/>
  <c r="BT60" i="8" s="1"/>
  <c r="BO60" i="8"/>
  <c r="BS183" i="2"/>
  <c r="BS194" i="2"/>
  <c r="BS189" i="2"/>
  <c r="BS187" i="2"/>
  <c r="BS12" i="2"/>
  <c r="BX13" i="2" s="1"/>
  <c r="BS122" i="2"/>
  <c r="BQ27" i="2"/>
  <c r="AN34" i="8"/>
  <c r="AN11" i="8"/>
  <c r="BR5" i="2"/>
  <c r="AN28" i="8"/>
  <c r="BQ13" i="2"/>
  <c r="BQ16" i="2"/>
  <c r="BQ184" i="2"/>
  <c r="BQ229" i="2" s="1"/>
  <c r="BQ193" i="2"/>
  <c r="BQ230" i="2" s="1"/>
  <c r="BJ73" i="2"/>
  <c r="BJ54" i="2" s="1"/>
  <c r="BJ60" i="2"/>
  <c r="BJ132" i="2"/>
  <c r="BJ138" i="2" s="1"/>
  <c r="BJ290" i="2" s="1"/>
  <c r="BQ292" i="2"/>
  <c r="BJ181" i="2"/>
  <c r="BJ223" i="2"/>
  <c r="BJ224" i="2" s="1"/>
  <c r="BJ279" i="2" s="1"/>
  <c r="AW280" i="2"/>
  <c r="Z42" i="2"/>
  <c r="Z43" i="2" s="1"/>
  <c r="Z48" i="2"/>
  <c r="Z222" i="2"/>
  <c r="AE39" i="2"/>
  <c r="AB132" i="2"/>
  <c r="AB138" i="2" s="1"/>
  <c r="AB268" i="2" s="1"/>
  <c r="AB73" i="2"/>
  <c r="AB60" i="2"/>
  <c r="AB172" i="2"/>
  <c r="AB223" i="2"/>
  <c r="AB224" i="2" s="1"/>
  <c r="AB225" i="2" s="1"/>
  <c r="AB181" i="2"/>
  <c r="AO39" i="8"/>
  <c r="AO29" i="8"/>
  <c r="W172" i="2"/>
  <c r="W73" i="2"/>
  <c r="W132" i="2"/>
  <c r="W138" i="2" s="1"/>
  <c r="W268" i="2" s="1"/>
  <c r="W60" i="2"/>
  <c r="AX18" i="8"/>
  <c r="AW12" i="8"/>
  <c r="BS286" i="2"/>
  <c r="BS195" i="2"/>
  <c r="BS182" i="2"/>
  <c r="BS9" i="2"/>
  <c r="W223" i="2"/>
  <c r="W224" i="2" s="1"/>
  <c r="W225" i="2" s="1"/>
  <c r="W181" i="2"/>
  <c r="BQ186" i="2"/>
  <c r="BQ228" i="2" s="1"/>
  <c r="AV225" i="2"/>
  <c r="BA181" i="2"/>
  <c r="BK43" i="2"/>
  <c r="BK218" i="2"/>
  <c r="BK289" i="2"/>
  <c r="BK58" i="2"/>
  <c r="BK66" i="2"/>
  <c r="BK52" i="2"/>
  <c r="AL11" i="8"/>
  <c r="AL39" i="8"/>
  <c r="AL44" i="8" s="1"/>
  <c r="BM121" i="2"/>
  <c r="BO182" i="2"/>
  <c r="BO195" i="2"/>
  <c r="BO286" i="2"/>
  <c r="BP5" i="2"/>
  <c r="X75" i="2"/>
  <c r="X54" i="2"/>
  <c r="BG268" i="2"/>
  <c r="BG290" i="2"/>
  <c r="AA17" i="2"/>
  <c r="V17" i="2"/>
  <c r="O132" i="2"/>
  <c r="O138" i="2" s="1"/>
  <c r="O73" i="2"/>
  <c r="O172" i="2"/>
  <c r="O60" i="2"/>
  <c r="O61" i="2" s="1"/>
  <c r="AC60" i="2"/>
  <c r="AC61" i="2" s="1"/>
  <c r="AC73" i="2"/>
  <c r="AC172" i="2"/>
  <c r="AC132" i="2"/>
  <c r="AC138" i="2" s="1"/>
  <c r="AC268" i="2" s="1"/>
  <c r="AG218" i="2"/>
  <c r="AF218" i="2" s="1"/>
  <c r="AG289" i="2"/>
  <c r="AG43" i="2"/>
  <c r="AG270" i="2"/>
  <c r="AD222" i="2"/>
  <c r="AD48" i="2"/>
  <c r="AD39" i="2"/>
  <c r="AD42" i="2"/>
  <c r="AH289" i="2"/>
  <c r="AH43" i="2"/>
  <c r="BI268" i="2"/>
  <c r="BI290" i="2"/>
  <c r="BL54" i="2"/>
  <c r="BL75" i="2"/>
  <c r="V28" i="2"/>
  <c r="V37" i="2"/>
  <c r="V29" i="2"/>
  <c r="AA29" i="2"/>
  <c r="AP30" i="2"/>
  <c r="AK30" i="2"/>
  <c r="AI38" i="2"/>
  <c r="AI222" i="2"/>
  <c r="AI39" i="2"/>
  <c r="AI48" i="2"/>
  <c r="AI42" i="2"/>
  <c r="AN39" i="2"/>
  <c r="AA58" i="2"/>
  <c r="AA52" i="2"/>
  <c r="AH52" i="2"/>
  <c r="AH58" i="2"/>
  <c r="Q28" i="2"/>
  <c r="Q30" i="2" s="1"/>
  <c r="Q37" i="2"/>
  <c r="Q29" i="2"/>
  <c r="P58" i="2"/>
  <c r="P52" i="2"/>
  <c r="BI54" i="2"/>
  <c r="BI75" i="2"/>
  <c r="AU280" i="2"/>
  <c r="AT280" i="2"/>
  <c r="BL290" i="2"/>
  <c r="BL268" i="2"/>
  <c r="AG25" i="2"/>
  <c r="Y48" i="2"/>
  <c r="Y42" i="2"/>
  <c r="Y222" i="2"/>
  <c r="AI30" i="2"/>
  <c r="AN30" i="2"/>
  <c r="AA43" i="2"/>
  <c r="AD30" i="2"/>
  <c r="BG279" i="2"/>
  <c r="BI225" i="2"/>
  <c r="BH225" i="2"/>
  <c r="AF52" i="2"/>
  <c r="AF58" i="2"/>
  <c r="U48" i="2"/>
  <c r="U38" i="2"/>
  <c r="U222" i="2"/>
  <c r="U42" i="2"/>
  <c r="U43" i="2" s="1"/>
  <c r="U39" i="2"/>
  <c r="Z39" i="2"/>
  <c r="AZ218" i="2"/>
  <c r="BL61" i="2"/>
  <c r="BG54" i="2"/>
  <c r="BG75" i="2"/>
  <c r="AP39" i="2"/>
  <c r="AK48" i="2"/>
  <c r="AK38" i="2"/>
  <c r="AK39" i="2"/>
  <c r="AK222" i="2"/>
  <c r="AK224" i="2" s="1"/>
  <c r="AK42" i="2"/>
  <c r="AE54" i="2"/>
  <c r="AE75" i="2"/>
  <c r="O223" i="2"/>
  <c r="O224" i="2" s="1"/>
  <c r="O181" i="2"/>
  <c r="AC223" i="2"/>
  <c r="AC224" i="2" s="1"/>
  <c r="AC181" i="2"/>
  <c r="BI279" i="2"/>
  <c r="AG52" i="2"/>
  <c r="AG58" i="2"/>
  <c r="AM25" i="2"/>
  <c r="U30" i="2"/>
  <c r="Z30" i="2"/>
  <c r="BI61" i="2"/>
  <c r="BN61" i="2"/>
  <c r="BA279" i="2"/>
  <c r="BA280" i="2" s="1"/>
  <c r="BA225" i="2"/>
  <c r="AS54" i="2"/>
  <c r="AS75" i="2"/>
  <c r="BF268" i="2"/>
  <c r="BF290" i="2"/>
  <c r="AJ30" i="2"/>
  <c r="AO30" i="2"/>
  <c r="CW181" i="2"/>
  <c r="CW223" i="2"/>
  <c r="BZ205" i="2"/>
  <c r="AW73" i="2"/>
  <c r="AW60" i="2"/>
  <c r="AW172" i="2"/>
  <c r="AW132" i="2"/>
  <c r="AW138" i="2" s="1"/>
  <c r="S39" i="2"/>
  <c r="S222" i="2"/>
  <c r="S38" i="2"/>
  <c r="S42" i="2"/>
  <c r="S48" i="2"/>
  <c r="X39" i="2"/>
  <c r="BO39" i="2"/>
  <c r="BO42" i="2"/>
  <c r="BO38" i="2"/>
  <c r="BO222" i="2"/>
  <c r="Y17" i="2"/>
  <c r="T17" i="2"/>
  <c r="AS268" i="2"/>
  <c r="AS290" i="2"/>
  <c r="AO290" i="2"/>
  <c r="AO268" i="2"/>
  <c r="AV75" i="2"/>
  <c r="AV54" i="2"/>
  <c r="L221" i="2"/>
  <c r="N4" i="2"/>
  <c r="L227" i="2"/>
  <c r="L178" i="2"/>
  <c r="L130" i="2"/>
  <c r="L89" i="2"/>
  <c r="AQ31" i="8"/>
  <c r="AL29" i="2"/>
  <c r="AL28" i="2"/>
  <c r="AL19" i="2"/>
  <c r="AL37" i="2"/>
  <c r="AL287" i="2"/>
  <c r="AQ29" i="2"/>
  <c r="CM205" i="2"/>
  <c r="BE280" i="2"/>
  <c r="BB280" i="2"/>
  <c r="BD280" i="2"/>
  <c r="BC280" i="2"/>
  <c r="AN60" i="2"/>
  <c r="AN172" i="2"/>
  <c r="AN132" i="2"/>
  <c r="CN135" i="2"/>
  <c r="CJ135" i="2"/>
  <c r="BN218" i="2"/>
  <c r="BN293" i="2"/>
  <c r="R48" i="2"/>
  <c r="R38" i="2"/>
  <c r="R222" i="2"/>
  <c r="R42" i="2"/>
  <c r="R39" i="2"/>
  <c r="W39" i="2"/>
  <c r="BF54" i="2"/>
  <c r="BF75" i="2"/>
  <c r="AJ48" i="2"/>
  <c r="AJ38" i="2"/>
  <c r="AJ222" i="2"/>
  <c r="AJ42" i="2"/>
  <c r="AJ39" i="2"/>
  <c r="AO39" i="2"/>
  <c r="AV268" i="2"/>
  <c r="AV290" i="2"/>
  <c r="BF225" i="2"/>
  <c r="BF279" i="2"/>
  <c r="BF280" i="2" s="1"/>
  <c r="BA132" i="2"/>
  <c r="BA138" i="2" s="1"/>
  <c r="BA73" i="2"/>
  <c r="BA60" i="2"/>
  <c r="BA172" i="2"/>
  <c r="S30" i="2"/>
  <c r="X30" i="2"/>
  <c r="AQ52" i="2"/>
  <c r="AQ58" i="2"/>
  <c r="T29" i="2"/>
  <c r="Y29" i="2"/>
  <c r="T28" i="2"/>
  <c r="T37" i="2"/>
  <c r="N52" i="2"/>
  <c r="N58" i="2"/>
  <c r="N43" i="2"/>
  <c r="N218" i="2"/>
  <c r="P218" i="2"/>
  <c r="O218" i="2"/>
  <c r="AR280" i="2"/>
  <c r="AP280" i="2"/>
  <c r="BN102" i="2"/>
  <c r="BN128" i="2" s="1"/>
  <c r="AX61" i="2"/>
  <c r="W30" i="2"/>
  <c r="R30" i="2"/>
  <c r="BM86" i="2"/>
  <c r="BP35" i="8"/>
  <c r="BP36" i="8" s="1"/>
  <c r="BT35" i="8"/>
  <c r="BU35" i="8" s="1"/>
  <c r="AT31" i="8"/>
  <c r="CW35" i="2"/>
  <c r="CW32" i="2" s="1"/>
  <c r="CR32" i="2"/>
  <c r="CO32" i="2"/>
  <c r="CQ32" i="2"/>
  <c r="CV35" i="2"/>
  <c r="CV32" i="2" s="1"/>
  <c r="CP32" i="2"/>
  <c r="CS35" i="2"/>
  <c r="CS32" i="2" s="1"/>
  <c r="CU35" i="2"/>
  <c r="AO44" i="8" l="1"/>
  <c r="AT44" i="8"/>
  <c r="CJ118" i="2"/>
  <c r="CK118" i="2"/>
  <c r="CL118" i="2" s="1"/>
  <c r="CM118" i="2" s="1"/>
  <c r="CN118" i="2" s="1"/>
  <c r="BZ117" i="2"/>
  <c r="CA117" i="2"/>
  <c r="CB117" i="2" s="1"/>
  <c r="CC117" i="2" s="1"/>
  <c r="CD117" i="2" s="1"/>
  <c r="BW6" i="2"/>
  <c r="BW260" i="2" s="1"/>
  <c r="BR20" i="2"/>
  <c r="BF61" i="2"/>
  <c r="BQ37" i="2"/>
  <c r="BQ42" i="2" s="1"/>
  <c r="BQ17" i="2"/>
  <c r="BP257" i="2"/>
  <c r="BT260" i="2"/>
  <c r="BT122" i="2"/>
  <c r="BS13" i="2"/>
  <c r="BS184" i="2"/>
  <c r="BS229" i="2" s="1"/>
  <c r="BM122" i="2"/>
  <c r="BM124" i="2" s="1"/>
  <c r="BQ287" i="2"/>
  <c r="BR183" i="2"/>
  <c r="BR195" i="2"/>
  <c r="BR189" i="2"/>
  <c r="BR194" i="2"/>
  <c r="BR187" i="2"/>
  <c r="BR184" i="2"/>
  <c r="BR12" i="2"/>
  <c r="BQ29" i="2"/>
  <c r="BQ28" i="2"/>
  <c r="AN29" i="8"/>
  <c r="BR286" i="2"/>
  <c r="BR9" i="2"/>
  <c r="BR182" i="2"/>
  <c r="AN39" i="8"/>
  <c r="AN44" i="8" s="1"/>
  <c r="BU36" i="8"/>
  <c r="BJ61" i="2"/>
  <c r="BJ75" i="2"/>
  <c r="BQ231" i="2"/>
  <c r="BQ21" i="2"/>
  <c r="BQ20" i="2"/>
  <c r="BJ268" i="2"/>
  <c r="BJ225" i="2"/>
  <c r="BL225" i="2"/>
  <c r="AH218" i="2"/>
  <c r="Z52" i="2"/>
  <c r="Z58" i="2"/>
  <c r="AB61" i="2"/>
  <c r="AB75" i="2"/>
  <c r="AB54" i="2"/>
  <c r="BS188" i="2"/>
  <c r="BS292" i="2"/>
  <c r="W54" i="2"/>
  <c r="W75" i="2"/>
  <c r="BS15" i="2"/>
  <c r="BS179" i="2"/>
  <c r="AY18" i="8"/>
  <c r="AX12" i="8"/>
  <c r="BJ218" i="2"/>
  <c r="AQ9" i="8"/>
  <c r="BK60" i="2"/>
  <c r="BK132" i="2"/>
  <c r="BK138" i="2" s="1"/>
  <c r="BK172" i="2"/>
  <c r="BK73" i="2"/>
  <c r="BK181" i="2"/>
  <c r="BK223" i="2"/>
  <c r="BK224" i="2" s="1"/>
  <c r="BP15" i="2"/>
  <c r="BP16" i="2" s="1"/>
  <c r="BP17" i="2" s="1"/>
  <c r="BP12" i="2"/>
  <c r="BO184" i="2"/>
  <c r="BO229" i="2" s="1"/>
  <c r="BP94" i="2"/>
  <c r="BP96" i="2"/>
  <c r="BP182" i="2"/>
  <c r="BP286" i="2"/>
  <c r="BU261" i="2"/>
  <c r="BP9" i="2"/>
  <c r="BP195" i="2"/>
  <c r="BP108" i="2"/>
  <c r="BO188" i="2"/>
  <c r="BO292" i="2"/>
  <c r="AK43" i="2"/>
  <c r="AO218" i="2"/>
  <c r="AK289" i="2"/>
  <c r="AK50" i="2"/>
  <c r="AL50" i="2" s="1"/>
  <c r="BJ280" i="2"/>
  <c r="BI280" i="2"/>
  <c r="BH280" i="2"/>
  <c r="Y43" i="2"/>
  <c r="AC218" i="2"/>
  <c r="AI58" i="2"/>
  <c r="AI52" i="2"/>
  <c r="V48" i="2"/>
  <c r="V39" i="2"/>
  <c r="V222" i="2"/>
  <c r="V42" i="2"/>
  <c r="V43" i="2" s="1"/>
  <c r="AA39" i="2"/>
  <c r="AD52" i="2"/>
  <c r="AD58" i="2"/>
  <c r="AK279" i="2"/>
  <c r="AO280" i="2" s="1"/>
  <c r="AO225" i="2"/>
  <c r="U52" i="2"/>
  <c r="U58" i="2"/>
  <c r="AF172" i="2"/>
  <c r="AF60" i="2"/>
  <c r="AF132" i="2"/>
  <c r="AF138" i="2" s="1"/>
  <c r="AF268" i="2" s="1"/>
  <c r="AF73" i="2"/>
  <c r="Y52" i="2"/>
  <c r="Y58" i="2"/>
  <c r="AA181" i="2"/>
  <c r="AA223" i="2"/>
  <c r="AA224" i="2" s="1"/>
  <c r="V30" i="2"/>
  <c r="AA30" i="2"/>
  <c r="AG60" i="2"/>
  <c r="AG61" i="2" s="1"/>
  <c r="AG132" i="2"/>
  <c r="AG138" i="2" s="1"/>
  <c r="AG172" i="2"/>
  <c r="AG73" i="2"/>
  <c r="AF223" i="2"/>
  <c r="AF224" i="2" s="1"/>
  <c r="AF181" i="2"/>
  <c r="P181" i="2"/>
  <c r="P223" i="2"/>
  <c r="P224" i="2" s="1"/>
  <c r="AH73" i="2"/>
  <c r="AH60" i="2"/>
  <c r="AH132" i="2"/>
  <c r="AH172" i="2"/>
  <c r="AA172" i="2"/>
  <c r="AA132" i="2"/>
  <c r="AA138" i="2" s="1"/>
  <c r="AA268" i="2" s="1"/>
  <c r="AA60" i="2"/>
  <c r="AA73" i="2"/>
  <c r="AD43" i="2"/>
  <c r="AD218" i="2"/>
  <c r="AE218" i="2"/>
  <c r="AN25" i="2"/>
  <c r="BN86" i="2"/>
  <c r="CK101" i="2"/>
  <c r="CL101" i="2" s="1"/>
  <c r="CM101" i="2" s="1"/>
  <c r="CN101" i="2" s="1"/>
  <c r="CO101" i="2" s="1"/>
  <c r="AG223" i="2"/>
  <c r="AG224" i="2" s="1"/>
  <c r="AG225" i="2" s="1"/>
  <c r="AG181" i="2"/>
  <c r="BG280" i="2"/>
  <c r="P172" i="2"/>
  <c r="P60" i="2"/>
  <c r="P61" i="2" s="1"/>
  <c r="P132" i="2"/>
  <c r="P138" i="2" s="1"/>
  <c r="P73" i="2"/>
  <c r="Q48" i="2"/>
  <c r="Q222" i="2"/>
  <c r="Q38" i="2"/>
  <c r="Q39" i="2"/>
  <c r="Q42" i="2"/>
  <c r="Q43" i="2" s="1"/>
  <c r="AH223" i="2"/>
  <c r="AH224" i="2" s="1"/>
  <c r="AH279" i="2" s="1"/>
  <c r="AH181" i="2"/>
  <c r="AI289" i="2"/>
  <c r="AI43" i="2"/>
  <c r="AI218" i="2"/>
  <c r="AC54" i="2"/>
  <c r="AC75" i="2"/>
  <c r="O54" i="2"/>
  <c r="O75" i="2"/>
  <c r="AP25" i="2"/>
  <c r="BA13" i="8"/>
  <c r="BA15" i="8"/>
  <c r="AS61" i="2"/>
  <c r="T38" i="2"/>
  <c r="T39" i="2"/>
  <c r="T48" i="2"/>
  <c r="T222" i="2"/>
  <c r="Y39" i="2"/>
  <c r="T42" i="2"/>
  <c r="BA290" i="2"/>
  <c r="BA268" i="2"/>
  <c r="BA75" i="2"/>
  <c r="BA54" i="2"/>
  <c r="AJ289" i="2"/>
  <c r="AJ43" i="2"/>
  <c r="AJ218" i="2"/>
  <c r="AM218" i="2"/>
  <c r="AN218" i="2"/>
  <c r="CO135" i="2"/>
  <c r="CS135" i="2"/>
  <c r="AL21" i="2"/>
  <c r="AL20" i="2"/>
  <c r="AQ21" i="2"/>
  <c r="S52" i="2"/>
  <c r="S58" i="2"/>
  <c r="R52" i="2"/>
  <c r="R58" i="2"/>
  <c r="CN205" i="2"/>
  <c r="CO205" i="2" s="1"/>
  <c r="AL30" i="2"/>
  <c r="AQ30" i="2"/>
  <c r="N132" i="2"/>
  <c r="N138" i="2" s="1"/>
  <c r="N172" i="2"/>
  <c r="N73" i="2"/>
  <c r="N60" i="2"/>
  <c r="N61" i="2" s="1"/>
  <c r="T30" i="2"/>
  <c r="Y30" i="2"/>
  <c r="AQ60" i="2"/>
  <c r="AQ172" i="2"/>
  <c r="AQ132" i="2"/>
  <c r="AQ138" i="2" s="1"/>
  <c r="AQ73" i="2"/>
  <c r="R43" i="2"/>
  <c r="R270" i="2"/>
  <c r="R218" i="2"/>
  <c r="Q218" i="2" s="1"/>
  <c r="AW75" i="2"/>
  <c r="AW54" i="2"/>
  <c r="AO25" i="2"/>
  <c r="S43" i="2"/>
  <c r="AW61" i="2"/>
  <c r="BB61" i="2"/>
  <c r="N223" i="2"/>
  <c r="N224" i="2" s="1"/>
  <c r="N181" i="2"/>
  <c r="AQ181" i="2"/>
  <c r="AQ223" i="2"/>
  <c r="AQ224" i="2" s="1"/>
  <c r="BA61" i="2"/>
  <c r="AJ58" i="2"/>
  <c r="AJ52" i="2"/>
  <c r="AN138" i="2"/>
  <c r="AL38" i="2"/>
  <c r="AL48" i="2"/>
  <c r="AL39" i="2"/>
  <c r="AL222" i="2"/>
  <c r="AL42" i="2"/>
  <c r="AQ39" i="2"/>
  <c r="N89" i="2"/>
  <c r="N178" i="2"/>
  <c r="N221" i="2"/>
  <c r="O4" i="2"/>
  <c r="N130" i="2"/>
  <c r="N227" i="2"/>
  <c r="BO289" i="2"/>
  <c r="BO43" i="2"/>
  <c r="AW268" i="2"/>
  <c r="AW290" i="2"/>
  <c r="CA200" i="2"/>
  <c r="CA83" i="2" s="1"/>
  <c r="BA16" i="8"/>
  <c r="AU31" i="8"/>
  <c r="BA14" i="8"/>
  <c r="AW30" i="8"/>
  <c r="CA111" i="2"/>
  <c r="CO137" i="2"/>
  <c r="CT32" i="2"/>
  <c r="CU32" i="2"/>
  <c r="CX35" i="2"/>
  <c r="CX32" i="2" s="1"/>
  <c r="AV40" i="8" l="1"/>
  <c r="AV45" i="8" s="1"/>
  <c r="CE117" i="2"/>
  <c r="CF117" i="2"/>
  <c r="CG117" i="2" s="1"/>
  <c r="CH117" i="2" s="1"/>
  <c r="CI117" i="2" s="1"/>
  <c r="CO118" i="2"/>
  <c r="CP118" i="2"/>
  <c r="CQ118" i="2" s="1"/>
  <c r="CR118" i="2" s="1"/>
  <c r="CS118" i="2" s="1"/>
  <c r="BR22" i="2"/>
  <c r="AS34" i="8"/>
  <c r="BQ39" i="2"/>
  <c r="BQ38" i="2"/>
  <c r="BQ48" i="2"/>
  <c r="BQ52" i="2" s="1"/>
  <c r="BQ30" i="2"/>
  <c r="BQ22" i="2"/>
  <c r="BQ222" i="2"/>
  <c r="S218" i="2"/>
  <c r="BQ218" i="2"/>
  <c r="BU122" i="2"/>
  <c r="BV122" i="2" s="1"/>
  <c r="BW122" i="2" s="1"/>
  <c r="BS27" i="2"/>
  <c r="BS16" i="2"/>
  <c r="BS193" i="2"/>
  <c r="BS230" i="2" s="1"/>
  <c r="BS186" i="2"/>
  <c r="BS228" i="2" s="1"/>
  <c r="BM126" i="2"/>
  <c r="BM128" i="2" s="1"/>
  <c r="BM219" i="2"/>
  <c r="BN225" i="2" s="1"/>
  <c r="BR13" i="2"/>
  <c r="BR292" i="2"/>
  <c r="BR15" i="2"/>
  <c r="BR179" i="2"/>
  <c r="BR152" i="2"/>
  <c r="BR229" i="2"/>
  <c r="BQ180" i="2"/>
  <c r="AK58" i="2"/>
  <c r="AK60" i="2" s="1"/>
  <c r="Z223" i="2"/>
  <c r="Z224" i="2" s="1"/>
  <c r="Z181" i="2"/>
  <c r="Z132" i="2"/>
  <c r="Z138" i="2" s="1"/>
  <c r="Z268" i="2" s="1"/>
  <c r="Z172" i="2"/>
  <c r="Z60" i="2"/>
  <c r="AE61" i="2" s="1"/>
  <c r="Z73" i="2"/>
  <c r="BK54" i="2"/>
  <c r="BK75" i="2"/>
  <c r="BK279" i="2"/>
  <c r="BK280" i="2" s="1"/>
  <c r="BK225" i="2"/>
  <c r="BK290" i="2"/>
  <c r="BK268" i="2"/>
  <c r="BK61" i="2"/>
  <c r="BP13" i="2"/>
  <c r="BP194" i="2"/>
  <c r="BP188" i="2"/>
  <c r="BP189" i="2"/>
  <c r="BP292" i="2"/>
  <c r="BP184" i="2"/>
  <c r="BP229" i="2" s="1"/>
  <c r="BP183" i="2"/>
  <c r="BP187" i="2"/>
  <c r="BP99" i="2"/>
  <c r="BQ190" i="2" s="1"/>
  <c r="BO191" i="2"/>
  <c r="BP179" i="2"/>
  <c r="Y172" i="2"/>
  <c r="Y132" i="2"/>
  <c r="Y138" i="2" s="1"/>
  <c r="Y268" i="2" s="1"/>
  <c r="Y60" i="2"/>
  <c r="Y73" i="2"/>
  <c r="AD223" i="2"/>
  <c r="AD224" i="2" s="1"/>
  <c r="AD181" i="2"/>
  <c r="AI60" i="2"/>
  <c r="AI172" i="2"/>
  <c r="AI73" i="2"/>
  <c r="AI132" i="2"/>
  <c r="Z218" i="2"/>
  <c r="Q52" i="2"/>
  <c r="Q58" i="2"/>
  <c r="AH138" i="2"/>
  <c r="AG268" i="2"/>
  <c r="AG290" i="2"/>
  <c r="Y181" i="2"/>
  <c r="Y223" i="2"/>
  <c r="Y224" i="2" s="1"/>
  <c r="AF54" i="2"/>
  <c r="AF75" i="2"/>
  <c r="P75" i="2"/>
  <c r="P54" i="2"/>
  <c r="AM61" i="2"/>
  <c r="AH61" i="2"/>
  <c r="U73" i="2"/>
  <c r="U60" i="2"/>
  <c r="U132" i="2"/>
  <c r="U138" i="2" s="1"/>
  <c r="U172" i="2"/>
  <c r="AA75" i="2"/>
  <c r="AA54" i="2"/>
  <c r="AH54" i="2"/>
  <c r="AH75" i="2"/>
  <c r="AG54" i="2"/>
  <c r="AG75" i="2"/>
  <c r="AF61" i="2"/>
  <c r="U223" i="2"/>
  <c r="U224" i="2" s="1"/>
  <c r="U181" i="2"/>
  <c r="AD60" i="2"/>
  <c r="AD132" i="2"/>
  <c r="AD138" i="2" s="1"/>
  <c r="AD268" i="2" s="1"/>
  <c r="AD73" i="2"/>
  <c r="AD172" i="2"/>
  <c r="V52" i="2"/>
  <c r="V58" i="2"/>
  <c r="AI223" i="2"/>
  <c r="AI224" i="2" s="1"/>
  <c r="AI279" i="2" s="1"/>
  <c r="AI181" i="2"/>
  <c r="Y218" i="2"/>
  <c r="AJ181" i="2"/>
  <c r="AJ223" i="2"/>
  <c r="AJ224" i="2" s="1"/>
  <c r="AQ54" i="2"/>
  <c r="AQ75" i="2"/>
  <c r="CP205" i="2"/>
  <c r="S60" i="2"/>
  <c r="S172" i="2"/>
  <c r="S132" i="2"/>
  <c r="S138" i="2" s="1"/>
  <c r="S73" i="2"/>
  <c r="AL22" i="2"/>
  <c r="AL180" i="2"/>
  <c r="AQ22" i="2"/>
  <c r="AN290" i="2"/>
  <c r="AN268" i="2"/>
  <c r="AJ132" i="2"/>
  <c r="AJ73" i="2"/>
  <c r="AJ60" i="2"/>
  <c r="AJ172" i="2"/>
  <c r="AQ268" i="2"/>
  <c r="AQ290" i="2"/>
  <c r="R132" i="2"/>
  <c r="R138" i="2" s="1"/>
  <c r="R172" i="2"/>
  <c r="R73" i="2"/>
  <c r="R60" i="2"/>
  <c r="AL270" i="2"/>
  <c r="AL289" i="2"/>
  <c r="AL218" i="2"/>
  <c r="AK218" i="2" s="1"/>
  <c r="AL43" i="2"/>
  <c r="AL58" i="2"/>
  <c r="AL52" i="2"/>
  <c r="AQ225" i="2"/>
  <c r="AQ279" i="2"/>
  <c r="AQ280" i="2" s="1"/>
  <c r="P225" i="2"/>
  <c r="N225" i="2"/>
  <c r="O225" i="2"/>
  <c r="N75" i="2"/>
  <c r="N54" i="2"/>
  <c r="R181" i="2"/>
  <c r="R223" i="2"/>
  <c r="R224" i="2" s="1"/>
  <c r="R225" i="2" s="1"/>
  <c r="CT135" i="2"/>
  <c r="CX135" i="2"/>
  <c r="CY135" i="2" s="1"/>
  <c r="T52" i="2"/>
  <c r="T58" i="2"/>
  <c r="O130" i="2"/>
  <c r="P4" i="2"/>
  <c r="O178" i="2"/>
  <c r="O89" i="2"/>
  <c r="O227" i="2"/>
  <c r="O221" i="2"/>
  <c r="S181" i="2"/>
  <c r="S223" i="2"/>
  <c r="S224" i="2" s="1"/>
  <c r="AV61" i="2"/>
  <c r="BP77" i="2"/>
  <c r="BP85" i="2" s="1"/>
  <c r="BP86" i="2" s="1"/>
  <c r="U218" i="2"/>
  <c r="T43" i="2"/>
  <c r="T218" i="2"/>
  <c r="X218" i="2"/>
  <c r="CB200" i="2"/>
  <c r="CB83" i="2" s="1"/>
  <c r="AW31" i="8"/>
  <c r="AY12" i="8"/>
  <c r="AZ17" i="8"/>
  <c r="AZ18" i="8" s="1"/>
  <c r="AX30" i="8"/>
  <c r="CB111" i="2"/>
  <c r="CA155" i="2"/>
  <c r="CP101" i="2"/>
  <c r="CQ101" i="2" s="1"/>
  <c r="CR101" i="2" s="1"/>
  <c r="CS101" i="2" s="1"/>
  <c r="CT101" i="2" s="1"/>
  <c r="CT137" i="2"/>
  <c r="CY32" i="2"/>
  <c r="BS17" i="2" l="1"/>
  <c r="BX17" i="2"/>
  <c r="CT118" i="2"/>
  <c r="CU118" i="2"/>
  <c r="CV118" i="2" s="1"/>
  <c r="CW118" i="2" s="1"/>
  <c r="CX118" i="2" s="1"/>
  <c r="CY118" i="2" s="1"/>
  <c r="CJ117" i="2"/>
  <c r="CK117" i="2"/>
  <c r="CL117" i="2" s="1"/>
  <c r="CM117" i="2" s="1"/>
  <c r="CN117" i="2" s="1"/>
  <c r="BX122" i="2"/>
  <c r="BQ58" i="2"/>
  <c r="BQ132" i="2" s="1"/>
  <c r="BQ138" i="2" s="1"/>
  <c r="BQ181" i="2"/>
  <c r="BS231" i="2"/>
  <c r="AK73" i="2"/>
  <c r="AK75" i="2" s="1"/>
  <c r="BS29" i="2"/>
  <c r="BS28" i="2"/>
  <c r="BS30" i="2" s="1"/>
  <c r="BS37" i="2"/>
  <c r="BX39" i="2" s="1"/>
  <c r="BM225" i="2"/>
  <c r="BS287" i="2"/>
  <c r="BQ223" i="2"/>
  <c r="BQ224" i="2" s="1"/>
  <c r="BR27" i="2"/>
  <c r="BR230" i="2"/>
  <c r="BR16" i="2"/>
  <c r="BR228" i="2"/>
  <c r="AK132" i="2"/>
  <c r="AK172" i="2"/>
  <c r="AD225" i="2"/>
  <c r="Z75" i="2"/>
  <c r="Z54" i="2"/>
  <c r="AD61" i="2"/>
  <c r="BO86" i="2"/>
  <c r="BP190" i="2"/>
  <c r="BP191" i="2"/>
  <c r="BO12" i="2"/>
  <c r="BO179" i="2"/>
  <c r="Q132" i="2"/>
  <c r="Q138" i="2" s="1"/>
  <c r="Q73" i="2"/>
  <c r="Q60" i="2"/>
  <c r="Q61" i="2" s="1"/>
  <c r="Q172" i="2"/>
  <c r="V132" i="2"/>
  <c r="V138" i="2" s="1"/>
  <c r="V73" i="2"/>
  <c r="V172" i="2"/>
  <c r="V60" i="2"/>
  <c r="AK61" i="2"/>
  <c r="AP61" i="2"/>
  <c r="U61" i="2"/>
  <c r="Z61" i="2"/>
  <c r="AH290" i="2"/>
  <c r="AH268" i="2"/>
  <c r="Q223" i="2"/>
  <c r="Q224" i="2" s="1"/>
  <c r="Q225" i="2" s="1"/>
  <c r="Q181" i="2"/>
  <c r="AI138" i="2"/>
  <c r="V223" i="2"/>
  <c r="V224" i="2" s="1"/>
  <c r="Z225" i="2" s="1"/>
  <c r="V181" i="2"/>
  <c r="U54" i="2"/>
  <c r="U75" i="2"/>
  <c r="AC225" i="2"/>
  <c r="AA225" i="2"/>
  <c r="AI75" i="2"/>
  <c r="AI54" i="2"/>
  <c r="AH225" i="2"/>
  <c r="AF225" i="2"/>
  <c r="AE225" i="2"/>
  <c r="AI225" i="2"/>
  <c r="AI61" i="2"/>
  <c r="AN61" i="2"/>
  <c r="AD75" i="2"/>
  <c r="AD54" i="2"/>
  <c r="Y75" i="2"/>
  <c r="Y54" i="2"/>
  <c r="AJ138" i="2"/>
  <c r="T60" i="2"/>
  <c r="T172" i="2"/>
  <c r="T132" i="2"/>
  <c r="T138" i="2" s="1"/>
  <c r="T73" i="2"/>
  <c r="AJ75" i="2"/>
  <c r="AJ54" i="2"/>
  <c r="S54" i="2"/>
  <c r="S75" i="2"/>
  <c r="CQ205" i="2"/>
  <c r="T181" i="2"/>
  <c r="T223" i="2"/>
  <c r="T224" i="2" s="1"/>
  <c r="AL223" i="2"/>
  <c r="AL224" i="2" s="1"/>
  <c r="AL181" i="2"/>
  <c r="AQ25" i="2"/>
  <c r="AL25" i="2"/>
  <c r="P178" i="2"/>
  <c r="P89" i="2"/>
  <c r="Q4" i="2"/>
  <c r="P130" i="2"/>
  <c r="P227" i="2"/>
  <c r="P221" i="2"/>
  <c r="AL172" i="2"/>
  <c r="AL132" i="2"/>
  <c r="AL138" i="2" s="1"/>
  <c r="AL73" i="2"/>
  <c r="AL60" i="2"/>
  <c r="R75" i="2"/>
  <c r="R54" i="2"/>
  <c r="AN225" i="2"/>
  <c r="AJ279" i="2"/>
  <c r="AM225" i="2"/>
  <c r="AK225" i="2"/>
  <c r="AJ225" i="2"/>
  <c r="R61" i="2"/>
  <c r="W61" i="2"/>
  <c r="AJ61" i="2"/>
  <c r="AO61" i="2"/>
  <c r="S61" i="2"/>
  <c r="X61" i="2"/>
  <c r="CC200" i="2"/>
  <c r="CC83" i="2" s="1"/>
  <c r="AY30" i="8"/>
  <c r="AX31" i="8"/>
  <c r="AZ12" i="8"/>
  <c r="BA17" i="8"/>
  <c r="CB155" i="2"/>
  <c r="CC111" i="2"/>
  <c r="CY137" i="2"/>
  <c r="CU101" i="2"/>
  <c r="CV101" i="2" s="1"/>
  <c r="CW101" i="2" s="1"/>
  <c r="CX101" i="2" s="1"/>
  <c r="CY101" i="2" s="1"/>
  <c r="X225" i="2" l="1"/>
  <c r="BY122" i="2"/>
  <c r="CO117" i="2"/>
  <c r="CP117" i="2"/>
  <c r="CQ117" i="2" s="1"/>
  <c r="CR117" i="2" s="1"/>
  <c r="CS117" i="2" s="1"/>
  <c r="AK138" i="2"/>
  <c r="AK268" i="2" s="1"/>
  <c r="BR37" i="2"/>
  <c r="BQ60" i="2"/>
  <c r="AK54" i="2"/>
  <c r="BS38" i="2"/>
  <c r="BS48" i="2"/>
  <c r="BS39" i="2"/>
  <c r="BS222" i="2"/>
  <c r="BQ204" i="2"/>
  <c r="BQ206" i="2" s="1"/>
  <c r="BR28" i="2"/>
  <c r="BR29" i="2"/>
  <c r="BR287" i="2"/>
  <c r="BR231" i="2"/>
  <c r="BR291" i="2"/>
  <c r="BR17" i="2"/>
  <c r="BS291" i="2"/>
  <c r="BS180" i="2"/>
  <c r="S225" i="2"/>
  <c r="BO193" i="2"/>
  <c r="BO230" i="2" s="1"/>
  <c r="BP107" i="2"/>
  <c r="BO16" i="2"/>
  <c r="BP19" i="2"/>
  <c r="BP95" i="2"/>
  <c r="BO228" i="2"/>
  <c r="BO13" i="2"/>
  <c r="Y225" i="2"/>
  <c r="V54" i="2"/>
  <c r="V75" i="2"/>
  <c r="Q54" i="2"/>
  <c r="Q75" i="2"/>
  <c r="AI290" i="2"/>
  <c r="AI268" i="2"/>
  <c r="V61" i="2"/>
  <c r="AA61" i="2"/>
  <c r="AL61" i="2"/>
  <c r="AQ61" i="2"/>
  <c r="T225" i="2"/>
  <c r="BO294" i="2"/>
  <c r="AL268" i="2"/>
  <c r="AL290" i="2"/>
  <c r="Q130" i="2"/>
  <c r="Q221" i="2"/>
  <c r="Q178" i="2"/>
  <c r="Q227" i="2"/>
  <c r="S4" i="2"/>
  <c r="Q89" i="2"/>
  <c r="CR205" i="2"/>
  <c r="T61" i="2"/>
  <c r="Y61" i="2"/>
  <c r="U225" i="2"/>
  <c r="AN280" i="2"/>
  <c r="AM280" i="2"/>
  <c r="AL75" i="2"/>
  <c r="AL54" i="2"/>
  <c r="AL225" i="2"/>
  <c r="AL279" i="2"/>
  <c r="AL280" i="2" s="1"/>
  <c r="T54" i="2"/>
  <c r="T75" i="2"/>
  <c r="V225" i="2"/>
  <c r="AJ268" i="2"/>
  <c r="AJ290" i="2"/>
  <c r="CF201" i="2"/>
  <c r="CD200" i="2"/>
  <c r="CD83" i="2" s="1"/>
  <c r="CE83" i="2" s="1"/>
  <c r="AZ30" i="8"/>
  <c r="BA12" i="8"/>
  <c r="BB17" i="8"/>
  <c r="BB18" i="8" s="1"/>
  <c r="AY31" i="8"/>
  <c r="CD111" i="2"/>
  <c r="CC155" i="2"/>
  <c r="CU117" i="2" l="1"/>
  <c r="CV117" i="2" s="1"/>
  <c r="CW117" i="2" s="1"/>
  <c r="CX117" i="2" s="1"/>
  <c r="CY117" i="2" s="1"/>
  <c r="CT117" i="2"/>
  <c r="AK290" i="2"/>
  <c r="BZ122" i="2"/>
  <c r="CA122" i="2" s="1"/>
  <c r="CB122" i="2" s="1"/>
  <c r="CC122" i="2" s="1"/>
  <c r="CD122" i="2" s="1"/>
  <c r="CE122" i="2" s="1"/>
  <c r="CF122" i="2" s="1"/>
  <c r="CG122" i="2" s="1"/>
  <c r="CH122" i="2" s="1"/>
  <c r="CI122" i="2" s="1"/>
  <c r="CJ122" i="2" s="1"/>
  <c r="CK122" i="2" s="1"/>
  <c r="CL122" i="2" s="1"/>
  <c r="CM122" i="2" s="1"/>
  <c r="CN122" i="2" s="1"/>
  <c r="CO122" i="2" s="1"/>
  <c r="CP122" i="2" s="1"/>
  <c r="CQ122" i="2" s="1"/>
  <c r="CR122" i="2" s="1"/>
  <c r="CS122" i="2" s="1"/>
  <c r="CT122" i="2" s="1"/>
  <c r="CU122" i="2" s="1"/>
  <c r="CV122" i="2" s="1"/>
  <c r="CW122" i="2" s="1"/>
  <c r="CX122" i="2" s="1"/>
  <c r="CY122" i="2" s="1"/>
  <c r="BR48" i="2"/>
  <c r="BQ208" i="2"/>
  <c r="BS52" i="2"/>
  <c r="BS58" i="2"/>
  <c r="BV206" i="2"/>
  <c r="BV208" i="2" s="1"/>
  <c r="BR30" i="2"/>
  <c r="BR38" i="2"/>
  <c r="BR222" i="2"/>
  <c r="BR39" i="2"/>
  <c r="BR180" i="2"/>
  <c r="BR41" i="2"/>
  <c r="BA18" i="8"/>
  <c r="CE200" i="2"/>
  <c r="CE201" i="2" s="1"/>
  <c r="BP21" i="2"/>
  <c r="BP20" i="2"/>
  <c r="BP22" i="2" s="1"/>
  <c r="BP27" i="2"/>
  <c r="BP37" i="2" s="1"/>
  <c r="BO231" i="2"/>
  <c r="BP185" i="2"/>
  <c r="BP186" i="2"/>
  <c r="BP228" i="2" s="1"/>
  <c r="BO21" i="2"/>
  <c r="BO20" i="2"/>
  <c r="BQ43" i="2"/>
  <c r="BQ289" i="2"/>
  <c r="BO291" i="2"/>
  <c r="BP192" i="2"/>
  <c r="BP193" i="2"/>
  <c r="BP230" i="2" s="1"/>
  <c r="BO17" i="2"/>
  <c r="BQ191" i="2"/>
  <c r="BF15" i="8"/>
  <c r="CS205" i="2"/>
  <c r="CT205" i="2" s="1"/>
  <c r="BO175" i="2"/>
  <c r="BP175" i="2"/>
  <c r="S89" i="2"/>
  <c r="S130" i="2"/>
  <c r="S178" i="2"/>
  <c r="S221" i="2"/>
  <c r="T4" i="2"/>
  <c r="S227" i="2"/>
  <c r="BP294" i="2"/>
  <c r="CG201" i="2"/>
  <c r="CF200" i="2"/>
  <c r="CF83" i="2" s="1"/>
  <c r="BF13" i="8"/>
  <c r="BF14" i="8"/>
  <c r="BF16" i="8"/>
  <c r="BC17" i="8"/>
  <c r="BC18" i="8" s="1"/>
  <c r="BB12" i="8"/>
  <c r="AZ31" i="8"/>
  <c r="BA30" i="8"/>
  <c r="CE111" i="2"/>
  <c r="CF111" i="2" s="1"/>
  <c r="CD155" i="2"/>
  <c r="CE155" i="2" s="1"/>
  <c r="BR52" i="2" l="1"/>
  <c r="BR58" i="2"/>
  <c r="BS132" i="2"/>
  <c r="BS138" i="2" s="1"/>
  <c r="BS60" i="2"/>
  <c r="CA204" i="2"/>
  <c r="CA206" i="2" s="1"/>
  <c r="CA208" i="2" s="1"/>
  <c r="CA157" i="2" s="1"/>
  <c r="BR42" i="2"/>
  <c r="BP28" i="2"/>
  <c r="BP30" i="2" s="1"/>
  <c r="BP29" i="2"/>
  <c r="BO180" i="2"/>
  <c r="BO22" i="2"/>
  <c r="BP231" i="2"/>
  <c r="BP291" i="2"/>
  <c r="BQ291" i="2"/>
  <c r="BR294" i="2"/>
  <c r="BQ294" i="2"/>
  <c r="T89" i="2"/>
  <c r="T130" i="2"/>
  <c r="U4" i="2"/>
  <c r="T221" i="2"/>
  <c r="T178" i="2"/>
  <c r="T227" i="2"/>
  <c r="CU205" i="2"/>
  <c r="CG200" i="2"/>
  <c r="CG83" i="2" s="1"/>
  <c r="CH201" i="2"/>
  <c r="BA40" i="8"/>
  <c r="BA31" i="8"/>
  <c r="BB30" i="8"/>
  <c r="BC12" i="8"/>
  <c r="BD17" i="8"/>
  <c r="BD18" i="8" s="1"/>
  <c r="CG111" i="2"/>
  <c r="CF155" i="2"/>
  <c r="BR60" i="2" l="1"/>
  <c r="BA45" i="8"/>
  <c r="CF204" i="2"/>
  <c r="CF206" i="2" s="1"/>
  <c r="CF208" i="2" s="1"/>
  <c r="CF157" i="2" s="1"/>
  <c r="CK82" i="2"/>
  <c r="BR43" i="2"/>
  <c r="BR175" i="2"/>
  <c r="BR289" i="2"/>
  <c r="BP38" i="2"/>
  <c r="BP39" i="2"/>
  <c r="BP180" i="2"/>
  <c r="BP287" i="2"/>
  <c r="BQ175" i="2"/>
  <c r="CV205" i="2"/>
  <c r="U89" i="2"/>
  <c r="U130" i="2"/>
  <c r="V4" i="2"/>
  <c r="U221" i="2"/>
  <c r="U227" i="2"/>
  <c r="U178" i="2"/>
  <c r="CI201" i="2"/>
  <c r="CH200" i="2"/>
  <c r="CH83" i="2" s="1"/>
  <c r="BC30" i="8"/>
  <c r="BE17" i="8"/>
  <c r="BE18" i="8" s="1"/>
  <c r="BD12" i="8"/>
  <c r="BB31" i="8"/>
  <c r="CH111" i="2"/>
  <c r="CG155" i="2"/>
  <c r="BS41" i="2" l="1"/>
  <c r="BS42" i="2" s="1"/>
  <c r="CP82" i="2"/>
  <c r="CK204" i="2"/>
  <c r="CK206" i="2" s="1"/>
  <c r="CK208" i="2" s="1"/>
  <c r="CK157" i="2" s="1"/>
  <c r="BP42" i="2"/>
  <c r="BP222" i="2"/>
  <c r="V89" i="2"/>
  <c r="V221" i="2"/>
  <c r="V130" i="2"/>
  <c r="V227" i="2"/>
  <c r="X4" i="2"/>
  <c r="V178" i="2"/>
  <c r="CW205" i="2"/>
  <c r="CK201" i="2"/>
  <c r="CI200" i="2"/>
  <c r="CI83" i="2" s="1"/>
  <c r="CJ83" i="2" s="1"/>
  <c r="BE12" i="8"/>
  <c r="BF17" i="8"/>
  <c r="BD30" i="8"/>
  <c r="BC31" i="8"/>
  <c r="CI111" i="2"/>
  <c r="CH155" i="2"/>
  <c r="CU82" i="2" l="1"/>
  <c r="CU204" i="2" s="1"/>
  <c r="CU206" i="2" s="1"/>
  <c r="CU208" i="2" s="1"/>
  <c r="CU157" i="2" s="1"/>
  <c r="CP204" i="2"/>
  <c r="CP206" i="2" s="1"/>
  <c r="CP208" i="2" s="1"/>
  <c r="CP157" i="2" s="1"/>
  <c r="BS191" i="2"/>
  <c r="BP289" i="2"/>
  <c r="BP43" i="2"/>
  <c r="Y4" i="2"/>
  <c r="X227" i="2"/>
  <c r="X130" i="2"/>
  <c r="X221" i="2"/>
  <c r="X178" i="2"/>
  <c r="X89" i="2"/>
  <c r="CX205" i="2"/>
  <c r="CK200" i="2"/>
  <c r="CL201" i="2"/>
  <c r="CJ200" i="2"/>
  <c r="CJ201" i="2" s="1"/>
  <c r="BD31" i="8"/>
  <c r="BG17" i="8"/>
  <c r="BG18" i="8" s="1"/>
  <c r="BE30" i="8"/>
  <c r="BF12" i="8"/>
  <c r="CJ111" i="2"/>
  <c r="CK111" i="2" s="1"/>
  <c r="CI155" i="2"/>
  <c r="CJ155" i="2" s="1"/>
  <c r="BS43" i="2" l="1"/>
  <c r="BS289" i="2"/>
  <c r="BU41" i="2"/>
  <c r="BT41" i="2"/>
  <c r="CN86" i="2"/>
  <c r="CS86" i="2" s="1"/>
  <c r="CX86" i="2" s="1"/>
  <c r="CL86" i="2"/>
  <c r="CQ86" i="2" s="1"/>
  <c r="CV86" i="2" s="1"/>
  <c r="BK13" i="8"/>
  <c r="CY205" i="2"/>
  <c r="Y130" i="2"/>
  <c r="Y221" i="2"/>
  <c r="Y178" i="2"/>
  <c r="Y227" i="2"/>
  <c r="Y89" i="2"/>
  <c r="Z4" i="2"/>
  <c r="CL200" i="2"/>
  <c r="CL83" i="2" s="1"/>
  <c r="CM201" i="2"/>
  <c r="CK83" i="2"/>
  <c r="BK16" i="8"/>
  <c r="BH17" i="8"/>
  <c r="BH18" i="8" s="1"/>
  <c r="BG12" i="8"/>
  <c r="BK15" i="8"/>
  <c r="BF18" i="8"/>
  <c r="BK14" i="8"/>
  <c r="BE31" i="8"/>
  <c r="BF30" i="8"/>
  <c r="CK155" i="2"/>
  <c r="CL111" i="2"/>
  <c r="AA4" i="2" l="1"/>
  <c r="Z130" i="2"/>
  <c r="Z227" i="2"/>
  <c r="Z221" i="2"/>
  <c r="Z89" i="2"/>
  <c r="Z178" i="2"/>
  <c r="CM200" i="2"/>
  <c r="CM83" i="2" s="1"/>
  <c r="CN201" i="2"/>
  <c r="BH12" i="8"/>
  <c r="BI17" i="8"/>
  <c r="BI18" i="8" s="1"/>
  <c r="BF31" i="8"/>
  <c r="BF40" i="8"/>
  <c r="BF45" i="8" s="1"/>
  <c r="BG30" i="8"/>
  <c r="CL155" i="2"/>
  <c r="CM111" i="2"/>
  <c r="AA89" i="2" l="1"/>
  <c r="AA178" i="2"/>
  <c r="AC4" i="2"/>
  <c r="AA221" i="2"/>
  <c r="AA227" i="2"/>
  <c r="AA130" i="2"/>
  <c r="CP201" i="2"/>
  <c r="CN200" i="2"/>
  <c r="CN83" i="2" s="1"/>
  <c r="CO83" i="2" s="1"/>
  <c r="BI12" i="8"/>
  <c r="BJ17" i="8"/>
  <c r="BJ18" i="8" s="1"/>
  <c r="BG31" i="8"/>
  <c r="BH30" i="8"/>
  <c r="CN111" i="2"/>
  <c r="CM155" i="2"/>
  <c r="AD4" i="2" l="1"/>
  <c r="AC227" i="2"/>
  <c r="AC130" i="2"/>
  <c r="AC89" i="2"/>
  <c r="AC221" i="2"/>
  <c r="AC178" i="2"/>
  <c r="CQ201" i="2"/>
  <c r="CP200" i="2"/>
  <c r="CO200" i="2"/>
  <c r="CO201" i="2" s="1"/>
  <c r="BJ12" i="8"/>
  <c r="BK17" i="8"/>
  <c r="BH31" i="8"/>
  <c r="BI30" i="8"/>
  <c r="CO111" i="2"/>
  <c r="CP111" i="2" s="1"/>
  <c r="CN155" i="2"/>
  <c r="CO155" i="2" s="1"/>
  <c r="AE4" i="2" l="1"/>
  <c r="AD227" i="2"/>
  <c r="AD89" i="2"/>
  <c r="AD221" i="2"/>
  <c r="AD178" i="2"/>
  <c r="AD130" i="2"/>
  <c r="CP83" i="2"/>
  <c r="CQ200" i="2"/>
  <c r="CQ83" i="2" s="1"/>
  <c r="CR201" i="2"/>
  <c r="BI31" i="8"/>
  <c r="BL17" i="8"/>
  <c r="BL18" i="8" s="1"/>
  <c r="BJ30" i="8"/>
  <c r="BK12" i="8"/>
  <c r="CQ111" i="2"/>
  <c r="CP155" i="2"/>
  <c r="BP14" i="8" l="1"/>
  <c r="AE89" i="2"/>
  <c r="AE227" i="2"/>
  <c r="AE221" i="2"/>
  <c r="AF4" i="2"/>
  <c r="AE178" i="2"/>
  <c r="AE130" i="2"/>
  <c r="BP15" i="8"/>
  <c r="CR200" i="2"/>
  <c r="CR83" i="2" s="1"/>
  <c r="CS201" i="2"/>
  <c r="BP16" i="8"/>
  <c r="BP13" i="8"/>
  <c r="BK18" i="8"/>
  <c r="BJ31" i="8"/>
  <c r="BK30" i="8"/>
  <c r="BL12" i="8"/>
  <c r="BM17" i="8"/>
  <c r="BM18" i="8" s="1"/>
  <c r="CR111" i="2"/>
  <c r="CQ155" i="2"/>
  <c r="AH4" i="2" l="1"/>
  <c r="AF227" i="2"/>
  <c r="AF178" i="2"/>
  <c r="AF89" i="2"/>
  <c r="AF130" i="2"/>
  <c r="AF221" i="2"/>
  <c r="CU201" i="2"/>
  <c r="CS200" i="2"/>
  <c r="BM12" i="8"/>
  <c r="BN17" i="8"/>
  <c r="BN18" i="8" s="1"/>
  <c r="BL30" i="8"/>
  <c r="BK31" i="8"/>
  <c r="BK40" i="8"/>
  <c r="BK45" i="8" s="1"/>
  <c r="CR155" i="2"/>
  <c r="CS111" i="2"/>
  <c r="AI4" i="2" l="1"/>
  <c r="AH89" i="2"/>
  <c r="AH130" i="2"/>
  <c r="D5" i="8"/>
  <c r="AH227" i="2"/>
  <c r="AH221" i="2"/>
  <c r="AH178" i="2"/>
  <c r="CU200" i="2"/>
  <c r="CV201" i="2"/>
  <c r="CS83" i="2"/>
  <c r="CT83" i="2" s="1"/>
  <c r="CT200" i="2"/>
  <c r="CT201" i="2" s="1"/>
  <c r="BL31" i="8"/>
  <c r="BO17" i="8"/>
  <c r="BO18" i="8" s="1"/>
  <c r="BN12" i="8"/>
  <c r="BM30" i="8"/>
  <c r="CS155" i="2"/>
  <c r="CT155" i="2" s="1"/>
  <c r="CT111" i="2"/>
  <c r="CU111" i="2" s="1"/>
  <c r="AI89" i="2" l="1"/>
  <c r="AI227" i="2"/>
  <c r="AI130" i="2"/>
  <c r="AJ4" i="2"/>
  <c r="AI221" i="2"/>
  <c r="E5" i="8"/>
  <c r="AI178" i="2"/>
  <c r="D27" i="8"/>
  <c r="D48" i="8" s="1"/>
  <c r="CU83" i="2"/>
  <c r="CW201" i="2"/>
  <c r="CV200" i="2"/>
  <c r="CV83" i="2" s="1"/>
  <c r="BM31" i="8"/>
  <c r="BN30" i="8"/>
  <c r="BP17" i="8"/>
  <c r="BO12" i="8"/>
  <c r="CU155" i="2"/>
  <c r="CV111" i="2"/>
  <c r="E27" i="8" l="1"/>
  <c r="E48" i="8" s="1"/>
  <c r="F5" i="8"/>
  <c r="AJ221" i="2"/>
  <c r="AJ130" i="2"/>
  <c r="AJ227" i="2"/>
  <c r="AJ89" i="2"/>
  <c r="AJ178" i="2"/>
  <c r="CW200" i="2"/>
  <c r="CW83" i="2" s="1"/>
  <c r="CX201" i="2"/>
  <c r="CX200" i="2" s="1"/>
  <c r="CX83" i="2" s="1"/>
  <c r="BP12" i="8"/>
  <c r="BU15" i="8" s="1"/>
  <c r="BO30" i="8"/>
  <c r="BQ17" i="8"/>
  <c r="BQ18" i="8" s="1"/>
  <c r="BN31" i="8"/>
  <c r="CW111" i="2"/>
  <c r="CV155" i="2"/>
  <c r="BU16" i="8" l="1"/>
  <c r="BU14" i="8"/>
  <c r="CY83" i="2"/>
  <c r="F27" i="8"/>
  <c r="F48" i="8" s="1"/>
  <c r="CY200" i="2"/>
  <c r="CY201" i="2" s="1"/>
  <c r="BU13" i="8"/>
  <c r="BQ12" i="8"/>
  <c r="BR17" i="8"/>
  <c r="BR18" i="8" s="1"/>
  <c r="BO31" i="8"/>
  <c r="BP30" i="8"/>
  <c r="BP18" i="8"/>
  <c r="CX111" i="2"/>
  <c r="CW155" i="2"/>
  <c r="BP31" i="8" l="1"/>
  <c r="BP40" i="8"/>
  <c r="BP45" i="8" s="1"/>
  <c r="BQ30" i="8"/>
  <c r="BR12" i="8"/>
  <c r="BS17" i="8"/>
  <c r="BS18" i="8" s="1"/>
  <c r="CY111" i="2"/>
  <c r="CX155" i="2"/>
  <c r="CY155" i="2" s="1"/>
  <c r="BR30" i="8" l="1"/>
  <c r="BS12" i="8"/>
  <c r="BT17" i="8"/>
  <c r="BT18" i="8" s="1"/>
  <c r="BQ31" i="8"/>
  <c r="BU17" i="8" l="1"/>
  <c r="BT12" i="8"/>
  <c r="BS30" i="8"/>
  <c r="BR31" i="8"/>
  <c r="BS31" i="8" l="1"/>
  <c r="BT30" i="8"/>
  <c r="BU30" i="8" s="1"/>
  <c r="BU12" i="8"/>
  <c r="BU40" i="8" l="1"/>
  <c r="BU45" i="8" s="1"/>
  <c r="BU31" i="8"/>
  <c r="BT31" i="8"/>
  <c r="BU18" i="8"/>
  <c r="BP48" i="2" l="1"/>
  <c r="BP64" i="2" l="1"/>
  <c r="BO66" i="2"/>
  <c r="BP52" i="2"/>
  <c r="BP58" i="2"/>
  <c r="BP66" i="2"/>
  <c r="BQ72" i="2" l="1"/>
  <c r="BP60" i="2"/>
  <c r="BP181" i="2"/>
  <c r="BP223" i="2"/>
  <c r="BP224" i="2" s="1"/>
  <c r="BP132" i="2"/>
  <c r="BO52" i="2"/>
  <c r="BO60" i="2" l="1"/>
  <c r="BO132" i="2"/>
  <c r="BO223" i="2"/>
  <c r="BO224" i="2" s="1"/>
  <c r="BO181" i="2"/>
  <c r="BP61" i="2"/>
  <c r="BP197" i="2"/>
  <c r="BP112" i="2"/>
  <c r="BO109" i="2" l="1"/>
  <c r="BO210" i="2"/>
  <c r="BO213" i="2" s="1"/>
  <c r="BN72" i="2"/>
  <c r="BN73" i="2" s="1"/>
  <c r="BO61" i="2"/>
  <c r="BO72" i="2"/>
  <c r="BO73" i="2" s="1"/>
  <c r="BO97" i="2" l="1"/>
  <c r="BO102" i="2" s="1"/>
  <c r="BO211" i="2"/>
  <c r="BO212" i="2" s="1"/>
  <c r="BN54" i="2"/>
  <c r="BN75" i="2"/>
  <c r="BO54" i="2"/>
  <c r="BO75" i="2"/>
  <c r="BP109" i="2"/>
  <c r="BP114" i="2" s="1"/>
  <c r="BO114" i="2"/>
  <c r="BO293" i="2" l="1"/>
  <c r="BP170" i="2"/>
  <c r="BP171" i="2" s="1"/>
  <c r="BP216" i="2"/>
  <c r="BP173" i="2" l="1"/>
  <c r="BP174" i="2" s="1"/>
  <c r="BP176" i="2"/>
  <c r="BP172" i="2"/>
  <c r="BO165" i="2" l="1"/>
  <c r="BO170" i="2"/>
  <c r="BO171" i="2" s="1"/>
  <c r="BO216" i="2"/>
  <c r="BO176" i="2" l="1"/>
  <c r="BO172" i="2"/>
  <c r="BO173" i="2"/>
  <c r="BJ171" i="2" l="1"/>
  <c r="BJ172" i="2" s="1"/>
  <c r="BJ173" i="2" l="1"/>
  <c r="BJ174" i="2" l="1"/>
  <c r="BO174" i="2"/>
  <c r="BP138" i="2" l="1"/>
  <c r="BO137" i="2"/>
  <c r="BO138" i="2" l="1"/>
  <c r="BP268" i="2"/>
  <c r="BP290" i="2"/>
  <c r="BO268" i="2" l="1"/>
  <c r="BO120" i="2"/>
  <c r="BO121" i="2" s="1"/>
  <c r="BO290" i="2"/>
  <c r="BP120" i="2" l="1"/>
  <c r="BP121" i="2" l="1"/>
  <c r="BO124" i="2"/>
  <c r="BP92" i="2" l="1"/>
  <c r="BU295" i="2" s="1"/>
  <c r="BP105" i="2"/>
  <c r="BP210" i="2" s="1"/>
  <c r="BQ213" i="2" s="1"/>
  <c r="BO219" i="2"/>
  <c r="BO126" i="2"/>
  <c r="BP124" i="2"/>
  <c r="BP97" i="2" l="1"/>
  <c r="BP102" i="2" s="1"/>
  <c r="BP211" i="2"/>
  <c r="BP212" i="2" s="1"/>
  <c r="BP213" i="2" s="1"/>
  <c r="BO225" i="2"/>
  <c r="BO128" i="2"/>
  <c r="BP126" i="2"/>
  <c r="BP219" i="2"/>
  <c r="BP218" i="2" l="1"/>
  <c r="BO218" i="2" s="1"/>
  <c r="BP293" i="2"/>
  <c r="BP128" i="2"/>
  <c r="BP225" i="2"/>
  <c r="BQ63" i="2" l="1"/>
  <c r="BQ66" i="2" s="1"/>
  <c r="BQ73" i="2" l="1"/>
  <c r="BQ54" i="2" s="1"/>
  <c r="BQ75" i="2" l="1"/>
  <c r="BQ61" i="2"/>
  <c r="BQ97" i="2" l="1"/>
  <c r="BQ102" i="2" s="1"/>
  <c r="BQ109" i="2"/>
  <c r="BQ114" i="2" s="1"/>
  <c r="BQ293" i="2" l="1"/>
  <c r="BB58" i="8" l="1"/>
  <c r="AW60" i="8"/>
  <c r="BA60" i="8" l="1"/>
  <c r="BF58" i="8"/>
  <c r="BG58" i="8"/>
  <c r="BB60" i="8"/>
  <c r="BF59" i="8" l="1"/>
  <c r="BF60" i="8"/>
  <c r="BL58" i="8"/>
  <c r="BG60" i="8"/>
  <c r="BK58" i="8"/>
  <c r="BK59" i="8" l="1"/>
  <c r="BK60" i="8"/>
  <c r="BP58" i="8"/>
  <c r="BQ58" i="8"/>
  <c r="BL60" i="8"/>
  <c r="BP59" i="8" l="1"/>
  <c r="BP60" i="8"/>
  <c r="BQ60" i="8"/>
  <c r="BU58" i="8"/>
  <c r="BU60" i="8" l="1"/>
  <c r="BU59" i="8"/>
  <c r="BQ6" i="2" l="1"/>
  <c r="BQ260" i="2" l="1"/>
  <c r="AI7" i="8" l="1"/>
  <c r="BM6" i="2" s="1"/>
  <c r="AL13" i="8"/>
  <c r="AL15" i="8"/>
  <c r="BM260" i="2" l="1"/>
  <c r="AL7" i="8"/>
  <c r="BP6" i="2" s="1"/>
  <c r="BP260" i="2" s="1"/>
  <c r="AI8" i="8"/>
  <c r="AH7" i="8"/>
  <c r="BL260" i="2" l="1"/>
  <c r="AH8" i="8"/>
  <c r="BQ165" i="2" l="1"/>
  <c r="BQ170" i="2"/>
  <c r="BQ171" i="2" s="1"/>
  <c r="BQ173" i="2" s="1"/>
  <c r="BQ216" i="2"/>
  <c r="BQ176" i="2" l="1"/>
  <c r="BQ172" i="2"/>
  <c r="BQ174" i="2"/>
  <c r="BQ290" i="2"/>
  <c r="BQ268" i="2"/>
  <c r="BQ219" i="2"/>
  <c r="BQ126" i="2" l="1"/>
  <c r="BQ225" i="2" l="1"/>
  <c r="BQ128" i="2"/>
  <c r="BR132" i="2" l="1"/>
  <c r="BR138" i="2" s="1"/>
  <c r="BR63" i="2" l="1"/>
  <c r="BR181" i="2" l="1"/>
  <c r="BR223" i="2"/>
  <c r="BR224" i="2" s="1"/>
  <c r="BR66" i="2"/>
  <c r="BR73" i="2" l="1"/>
  <c r="BR54" i="2" l="1"/>
  <c r="BR75" i="2"/>
  <c r="BR61" i="2"/>
  <c r="BR210" i="2"/>
  <c r="BR213" i="2" s="1"/>
  <c r="BR109" i="2"/>
  <c r="BR114" i="2" s="1"/>
  <c r="BR161" i="2" l="1"/>
  <c r="BR211" i="2"/>
  <c r="BR212" i="2" s="1"/>
  <c r="BR97" i="2"/>
  <c r="BR102" i="2" l="1"/>
  <c r="BR293" i="2"/>
  <c r="BR218" i="2"/>
  <c r="BR165" i="2" l="1"/>
  <c r="BR170" i="2"/>
  <c r="BR171" i="2" s="1"/>
  <c r="BR216" i="2"/>
  <c r="BR120" i="2" l="1"/>
  <c r="BR172" i="2"/>
  <c r="BR173" i="2"/>
  <c r="BR174" i="2" s="1"/>
  <c r="BR176" i="2"/>
  <c r="BR268" i="2"/>
  <c r="BR290" i="2"/>
  <c r="AV6" i="2" l="1"/>
  <c r="AV260" i="2" s="1"/>
  <c r="BZ261" i="2"/>
  <c r="CE261" i="2"/>
  <c r="CJ261" i="2"/>
  <c r="CO261" i="2"/>
  <c r="AV271" i="2" l="1"/>
  <c r="AO7" i="8" l="1"/>
  <c r="AQ7" i="8"/>
  <c r="BU6" i="2" l="1"/>
  <c r="BU260" i="2" s="1"/>
  <c r="BS6" i="2"/>
  <c r="BS260" i="2" l="1"/>
  <c r="BS223" i="2" l="1"/>
  <c r="BS224" i="2" s="1"/>
  <c r="BS181" i="2"/>
  <c r="BS63" i="2"/>
  <c r="BS73" i="2" l="1"/>
  <c r="BS54" i="2" s="1"/>
  <c r="BS61" i="2" l="1"/>
  <c r="BS66" i="2"/>
  <c r="BS75" i="2"/>
  <c r="BS294" i="2"/>
  <c r="BS97" i="2" l="1"/>
  <c r="BS102" i="2" l="1"/>
  <c r="BS109" i="2"/>
  <c r="BS213" i="2" l="1"/>
  <c r="BS114" i="2"/>
  <c r="BS293" i="2"/>
  <c r="BS218" i="2"/>
  <c r="BS268" i="2"/>
  <c r="BS170" i="2"/>
  <c r="BS171" i="2" s="1"/>
  <c r="BS172" i="2" s="1"/>
  <c r="BS290" i="2" l="1"/>
  <c r="BS173" i="2"/>
  <c r="BS174" i="2" l="1"/>
  <c r="BS120" i="2"/>
  <c r="BS175" i="2"/>
  <c r="BS176" i="2" s="1"/>
  <c r="BS216" i="2"/>
  <c r="BS165" i="2" l="1"/>
  <c r="CK86" i="2" l="1"/>
  <c r="CP86" i="2" s="1"/>
  <c r="CU86" i="2" s="1"/>
  <c r="CM86" i="2" l="1"/>
  <c r="CR86" i="2" s="1"/>
  <c r="CW86" i="2" s="1"/>
  <c r="BR204" i="2"/>
  <c r="BR206" i="2" s="1"/>
  <c r="BS204" i="2" l="1"/>
  <c r="BR208" i="2"/>
  <c r="BR121" i="2" s="1"/>
  <c r="BS206" i="2" l="1"/>
  <c r="BU206" i="2" s="1"/>
  <c r="BU208" i="2" s="1"/>
  <c r="BR119" i="2"/>
  <c r="BR124" i="2" s="1"/>
  <c r="CB204" i="2"/>
  <c r="CB206" i="2" s="1"/>
  <c r="BS208" i="2" l="1"/>
  <c r="BS121" i="2" s="1"/>
  <c r="BT121" i="2" s="1"/>
  <c r="CB208" i="2"/>
  <c r="CB157" i="2" s="1"/>
  <c r="BR126" i="2"/>
  <c r="BR128" i="2" s="1"/>
  <c r="BR219" i="2"/>
  <c r="CL82" i="2"/>
  <c r="CG204" i="2"/>
  <c r="CG206" i="2" s="1"/>
  <c r="BS119" i="2" l="1"/>
  <c r="BS124" i="2" s="1"/>
  <c r="BU121" i="2"/>
  <c r="BV121" i="2" s="1"/>
  <c r="BT294" i="2"/>
  <c r="BU87" i="2"/>
  <c r="BU85" i="2"/>
  <c r="BV294" i="2"/>
  <c r="CG208" i="2"/>
  <c r="CG157" i="2" s="1"/>
  <c r="CQ82" i="2"/>
  <c r="CL204" i="2"/>
  <c r="CL206" i="2" s="1"/>
  <c r="BR225" i="2"/>
  <c r="BW121" i="2" l="1"/>
  <c r="BU86" i="2"/>
  <c r="BW294" i="2"/>
  <c r="BT175" i="2"/>
  <c r="BU175" i="2"/>
  <c r="BU294" i="2"/>
  <c r="CV82" i="2"/>
  <c r="CQ204" i="2"/>
  <c r="CQ206" i="2" s="1"/>
  <c r="CL208" i="2"/>
  <c r="CL157" i="2" s="1"/>
  <c r="BS126" i="2"/>
  <c r="BS219" i="2"/>
  <c r="BS225" i="2" s="1"/>
  <c r="BX294" i="2" l="1"/>
  <c r="BS128" i="2"/>
  <c r="CQ208" i="2"/>
  <c r="CQ157" i="2" s="1"/>
  <c r="CV204" i="2"/>
  <c r="CV206" i="2" s="1"/>
  <c r="CV208" i="2" l="1"/>
  <c r="CV157" i="2" s="1"/>
  <c r="AY19" i="8" l="1"/>
  <c r="AT34" i="8" l="1"/>
  <c r="AY6" i="8"/>
  <c r="BD10" i="8" s="1"/>
  <c r="BD19" i="8"/>
  <c r="AY33" i="8"/>
  <c r="AY10" i="8"/>
  <c r="AY9" i="8"/>
  <c r="AY7" i="8"/>
  <c r="CC6" i="2" s="1"/>
  <c r="CC260" i="2" s="1"/>
  <c r="BX189" i="2" l="1"/>
  <c r="BX194" i="2"/>
  <c r="CC194" i="2" s="1"/>
  <c r="CH194" i="2" s="1"/>
  <c r="CM194" i="2" s="1"/>
  <c r="CR194" i="2" s="1"/>
  <c r="CW194" i="2" s="1"/>
  <c r="BX187" i="2"/>
  <c r="CC187" i="2" s="1"/>
  <c r="CH187" i="2" s="1"/>
  <c r="CM187" i="2" s="1"/>
  <c r="CR187" i="2" s="1"/>
  <c r="CW187" i="2" s="1"/>
  <c r="BX183" i="2"/>
  <c r="BD9" i="8"/>
  <c r="BD7" i="8"/>
  <c r="CH6" i="2" s="1"/>
  <c r="CH260" i="2" s="1"/>
  <c r="CC5" i="2"/>
  <c r="AY11" i="8"/>
  <c r="BX9" i="2"/>
  <c r="BX286" i="2"/>
  <c r="BX195" i="2"/>
  <c r="BX182" i="2"/>
  <c r="AY34" i="8"/>
  <c r="AY28" i="8"/>
  <c r="BD6" i="8"/>
  <c r="BI10" i="8" s="1"/>
  <c r="BI19" i="8"/>
  <c r="BD33" i="8"/>
  <c r="AT29" i="8"/>
  <c r="CC183" i="2" l="1"/>
  <c r="CH183" i="2" s="1"/>
  <c r="CM183" i="2" s="1"/>
  <c r="CR183" i="2" s="1"/>
  <c r="CW183" i="2" s="1"/>
  <c r="CC12" i="2"/>
  <c r="CH12" i="2" s="1"/>
  <c r="CM12" i="2" s="1"/>
  <c r="CR12" i="2" s="1"/>
  <c r="CW12" i="2" s="1"/>
  <c r="BX287" i="2"/>
  <c r="BI7" i="8"/>
  <c r="CM6" i="2" s="1"/>
  <c r="CM260" i="2" s="1"/>
  <c r="BI9" i="8"/>
  <c r="BX184" i="2"/>
  <c r="BX229" i="2" s="1"/>
  <c r="BI6" i="8"/>
  <c r="BN10" i="8" s="1"/>
  <c r="BN19" i="8"/>
  <c r="BI33" i="8"/>
  <c r="BX292" i="2"/>
  <c r="BX188" i="2"/>
  <c r="BX179" i="2"/>
  <c r="CC94" i="2"/>
  <c r="CC96" i="2"/>
  <c r="CC108" i="2"/>
  <c r="CC9" i="2"/>
  <c r="CC149" i="2"/>
  <c r="CC286" i="2"/>
  <c r="CC195" i="2"/>
  <c r="CC182" i="2"/>
  <c r="BD28" i="8"/>
  <c r="BD34" i="8"/>
  <c r="CH5" i="2"/>
  <c r="BD11" i="8"/>
  <c r="CC27" i="2"/>
  <c r="AY29" i="8"/>
  <c r="AY39" i="8"/>
  <c r="AY44" i="8" s="1"/>
  <c r="BX29" i="2" l="1"/>
  <c r="CC11" i="2"/>
  <c r="CC15" i="2" s="1"/>
  <c r="CC16" i="2" s="1"/>
  <c r="BX28" i="2"/>
  <c r="BX30" i="2" s="1"/>
  <c r="BX20" i="2"/>
  <c r="BX22" i="2" s="1"/>
  <c r="BX21" i="2"/>
  <c r="BN7" i="8"/>
  <c r="CR6" i="2" s="1"/>
  <c r="BN9" i="8"/>
  <c r="CH27" i="2"/>
  <c r="BD29" i="8"/>
  <c r="BD39" i="8"/>
  <c r="BD44" i="8" s="1"/>
  <c r="CC28" i="2"/>
  <c r="CC29" i="2"/>
  <c r="CC37" i="2"/>
  <c r="CC287" i="2"/>
  <c r="BX186" i="2"/>
  <c r="BX228" i="2" s="1"/>
  <c r="BN6" i="8"/>
  <c r="BS9" i="8" s="1"/>
  <c r="BS19" i="8"/>
  <c r="BN33" i="8"/>
  <c r="CC184" i="2"/>
  <c r="CC229" i="2" s="1"/>
  <c r="CH9" i="2"/>
  <c r="CH11" i="2"/>
  <c r="CH15" i="2" s="1"/>
  <c r="CH16" i="2" s="1"/>
  <c r="CH149" i="2"/>
  <c r="CH182" i="2"/>
  <c r="CH94" i="2"/>
  <c r="CH96" i="2"/>
  <c r="CH108" i="2"/>
  <c r="CH195" i="2"/>
  <c r="CH286" i="2"/>
  <c r="CC152" i="2"/>
  <c r="CC292" i="2"/>
  <c r="CC188" i="2"/>
  <c r="BX193" i="2"/>
  <c r="BX230" i="2" s="1"/>
  <c r="BI34" i="8"/>
  <c r="BI28" i="8"/>
  <c r="CM5" i="2"/>
  <c r="BI11" i="8"/>
  <c r="CC179" i="2" l="1"/>
  <c r="CH17" i="2"/>
  <c r="CC107" i="2"/>
  <c r="CC193" i="2" s="1"/>
  <c r="CC230" i="2" s="1"/>
  <c r="CC19" i="2"/>
  <c r="CC21" i="2" s="1"/>
  <c r="CC95" i="2"/>
  <c r="CC186" i="2" s="1"/>
  <c r="CC228" i="2" s="1"/>
  <c r="BX222" i="2"/>
  <c r="CC30" i="2"/>
  <c r="CC17" i="2"/>
  <c r="BN28" i="8"/>
  <c r="BN34" i="8"/>
  <c r="CM27" i="2"/>
  <c r="BI39" i="8"/>
  <c r="BI44" i="8" s="1"/>
  <c r="BI29" i="8"/>
  <c r="CH152" i="2"/>
  <c r="CH188" i="2"/>
  <c r="CH292" i="2"/>
  <c r="BS10" i="8"/>
  <c r="CM149" i="2"/>
  <c r="CM9" i="2"/>
  <c r="CM11" i="2"/>
  <c r="CM15" i="2" s="1"/>
  <c r="CM16" i="2" s="1"/>
  <c r="CM17" i="2" s="1"/>
  <c r="CM94" i="2"/>
  <c r="CM96" i="2"/>
  <c r="CM108" i="2"/>
  <c r="CM182" i="2"/>
  <c r="CM195" i="2"/>
  <c r="CM286" i="2"/>
  <c r="CH184" i="2"/>
  <c r="CH229" i="2" s="1"/>
  <c r="CH95" i="2"/>
  <c r="CH107" i="2"/>
  <c r="CH179" i="2"/>
  <c r="BX231" i="2"/>
  <c r="CC38" i="2"/>
  <c r="CC39" i="2"/>
  <c r="CC222" i="2"/>
  <c r="CC224" i="2" s="1"/>
  <c r="CR5" i="2"/>
  <c r="BN11" i="8"/>
  <c r="BS6" i="8"/>
  <c r="BS33" i="8"/>
  <c r="BS7" i="8"/>
  <c r="CW6" i="2" s="1"/>
  <c r="CH19" i="2"/>
  <c r="CH28" i="2"/>
  <c r="CH30" i="2" s="1"/>
  <c r="CH29" i="2"/>
  <c r="CH37" i="2"/>
  <c r="CH287" i="2"/>
  <c r="CC20" i="2" l="1"/>
  <c r="CC180" i="2" s="1"/>
  <c r="CH20" i="2"/>
  <c r="CH21" i="2"/>
  <c r="CR94" i="2"/>
  <c r="CR96" i="2"/>
  <c r="CR108" i="2"/>
  <c r="CR149" i="2"/>
  <c r="CR11" i="2"/>
  <c r="CR15" i="2" s="1"/>
  <c r="CR16" i="2" s="1"/>
  <c r="CR17" i="2" s="1"/>
  <c r="CR182" i="2"/>
  <c r="CR9" i="2"/>
  <c r="CR286" i="2"/>
  <c r="CR195" i="2"/>
  <c r="BX180" i="2"/>
  <c r="CM95" i="2"/>
  <c r="CM107" i="2"/>
  <c r="CM179" i="2"/>
  <c r="CC22" i="2"/>
  <c r="BS34" i="8"/>
  <c r="BS28" i="8"/>
  <c r="CH193" i="2"/>
  <c r="CH230" i="2" s="1"/>
  <c r="CM19" i="2"/>
  <c r="CM28" i="2"/>
  <c r="CM30" i="2" s="1"/>
  <c r="CM29" i="2"/>
  <c r="CM37" i="2"/>
  <c r="CM287" i="2"/>
  <c r="CR27" i="2"/>
  <c r="BN39" i="8"/>
  <c r="BN44" i="8" s="1"/>
  <c r="BN29" i="8"/>
  <c r="CH38" i="2"/>
  <c r="CH39" i="2"/>
  <c r="CH222" i="2"/>
  <c r="CH224" i="2" s="1"/>
  <c r="CW5" i="2"/>
  <c r="BS11" i="8"/>
  <c r="CC231" i="2"/>
  <c r="CH186" i="2"/>
  <c r="CH228" i="2" s="1"/>
  <c r="CM184" i="2"/>
  <c r="CM229" i="2" s="1"/>
  <c r="CM152" i="2"/>
  <c r="CM188" i="2"/>
  <c r="CM292" i="2"/>
  <c r="CH231" i="2" l="1"/>
  <c r="CM20" i="2"/>
  <c r="CM21" i="2"/>
  <c r="CM193" i="2"/>
  <c r="CM230" i="2" s="1"/>
  <c r="CR19" i="2"/>
  <c r="CR28" i="2"/>
  <c r="CR30" i="2" s="1"/>
  <c r="CR29" i="2"/>
  <c r="CR37" i="2"/>
  <c r="CR287" i="2"/>
  <c r="CR152" i="2"/>
  <c r="CR292" i="2"/>
  <c r="CR188" i="2"/>
  <c r="CW27" i="2"/>
  <c r="BS29" i="8"/>
  <c r="BS39" i="8"/>
  <c r="BS44" i="8" s="1"/>
  <c r="CW94" i="2"/>
  <c r="CW96" i="2"/>
  <c r="CW108" i="2"/>
  <c r="CW9" i="2"/>
  <c r="CW11" i="2"/>
  <c r="CW149" i="2"/>
  <c r="CW286" i="2"/>
  <c r="CW195" i="2"/>
  <c r="CW182" i="2"/>
  <c r="CM38" i="2"/>
  <c r="CM39" i="2"/>
  <c r="CM222" i="2"/>
  <c r="CM224" i="2" s="1"/>
  <c r="CM186" i="2"/>
  <c r="CM228" i="2" s="1"/>
  <c r="CR95" i="2"/>
  <c r="CR107" i="2"/>
  <c r="CR179" i="2"/>
  <c r="CR184" i="2"/>
  <c r="CR229" i="2" s="1"/>
  <c r="CH22" i="2"/>
  <c r="CH180" i="2"/>
  <c r="CM231" i="2" l="1"/>
  <c r="CR186" i="2"/>
  <c r="CR228" i="2" s="1"/>
  <c r="CW152" i="2"/>
  <c r="CW292" i="2"/>
  <c r="CW188" i="2"/>
  <c r="CR38" i="2"/>
  <c r="CR39" i="2"/>
  <c r="CR222" i="2"/>
  <c r="CR224" i="2" s="1"/>
  <c r="CW95" i="2"/>
  <c r="CW107" i="2"/>
  <c r="CW179" i="2"/>
  <c r="CW184" i="2"/>
  <c r="CW229" i="2" s="1"/>
  <c r="CR193" i="2"/>
  <c r="CR230" i="2" s="1"/>
  <c r="CW15" i="2"/>
  <c r="CW16" i="2" s="1"/>
  <c r="CW17" i="2" s="1"/>
  <c r="CW28" i="2"/>
  <c r="CW30" i="2" s="1"/>
  <c r="CW29" i="2"/>
  <c r="CW37" i="2"/>
  <c r="CW287" i="2"/>
  <c r="CR20" i="2"/>
  <c r="CR21" i="2"/>
  <c r="CM22" i="2"/>
  <c r="CM180" i="2"/>
  <c r="CW19" i="2" l="1"/>
  <c r="CW20" i="2" s="1"/>
  <c r="CR231" i="2"/>
  <c r="CW186" i="2"/>
  <c r="CW228" i="2" s="1"/>
  <c r="CR22" i="2"/>
  <c r="CR180" i="2"/>
  <c r="CW38" i="2"/>
  <c r="CW39" i="2"/>
  <c r="CW222" i="2"/>
  <c r="CW224" i="2" s="1"/>
  <c r="CW193" i="2"/>
  <c r="CW230" i="2" s="1"/>
  <c r="CW21" i="2" l="1"/>
  <c r="CW231" i="2"/>
  <c r="CW22" i="2"/>
  <c r="CW180" i="2"/>
  <c r="AR10" i="8" l="1"/>
  <c r="AW19" i="8" l="1"/>
  <c r="AW10" i="8" l="1"/>
  <c r="AW7" i="8"/>
  <c r="CA6" i="2" s="1"/>
  <c r="CA260" i="2" s="1"/>
  <c r="AW9" i="8"/>
  <c r="AQ10" i="8"/>
  <c r="AW6" i="8"/>
  <c r="BB7" i="8" s="1"/>
  <c r="CF6" i="2" s="1"/>
  <c r="CF260" i="2" s="1"/>
  <c r="AW33" i="8"/>
  <c r="BB19" i="8"/>
  <c r="AR34" i="8"/>
  <c r="AS10" i="8"/>
  <c r="BV5" i="2"/>
  <c r="BV12" i="2" l="1"/>
  <c r="BV13" i="2" s="1"/>
  <c r="BV15" i="2"/>
  <c r="BV27" i="2" s="1"/>
  <c r="BV195" i="2"/>
  <c r="BV187" i="2"/>
  <c r="CA187" i="2" s="1"/>
  <c r="CF187" i="2" s="1"/>
  <c r="CK187" i="2" s="1"/>
  <c r="CP187" i="2" s="1"/>
  <c r="CU187" i="2" s="1"/>
  <c r="BV183" i="2"/>
  <c r="BV182" i="2"/>
  <c r="BV194" i="2"/>
  <c r="BV189" i="2"/>
  <c r="BV184" i="2"/>
  <c r="BB10" i="8"/>
  <c r="BB9" i="8"/>
  <c r="BV9" i="2"/>
  <c r="BV286" i="2"/>
  <c r="BB6" i="8"/>
  <c r="BG7" i="8" s="1"/>
  <c r="CK6" i="2" s="1"/>
  <c r="CK260" i="2" s="1"/>
  <c r="BB33" i="8"/>
  <c r="BG19" i="8"/>
  <c r="AW28" i="8"/>
  <c r="AW34" i="8"/>
  <c r="AR29" i="8"/>
  <c r="AX19" i="8"/>
  <c r="AS6" i="8"/>
  <c r="CA5" i="2"/>
  <c r="CA149" i="2" s="1"/>
  <c r="AW11" i="8"/>
  <c r="CA183" i="2" l="1"/>
  <c r="CF183" i="2" s="1"/>
  <c r="CK183" i="2" s="1"/>
  <c r="CP183" i="2" s="1"/>
  <c r="CU183" i="2" s="1"/>
  <c r="CA194" i="2"/>
  <c r="CA108" i="2" s="1"/>
  <c r="AX7" i="8"/>
  <c r="CB6" i="2" s="1"/>
  <c r="CB260" i="2" s="1"/>
  <c r="CA12" i="2"/>
  <c r="CF12" i="2" s="1"/>
  <c r="CK12" i="2" s="1"/>
  <c r="CP12" i="2" s="1"/>
  <c r="CU12" i="2" s="1"/>
  <c r="AP39" i="8"/>
  <c r="AP44" i="8" s="1"/>
  <c r="AQ6" i="8"/>
  <c r="AX9" i="8"/>
  <c r="AX10" i="8"/>
  <c r="BG9" i="8"/>
  <c r="CA9" i="2"/>
  <c r="CA94" i="2"/>
  <c r="CA96" i="2"/>
  <c r="CA182" i="2"/>
  <c r="CA286" i="2"/>
  <c r="CA195" i="2"/>
  <c r="BW5" i="2"/>
  <c r="AS11" i="8"/>
  <c r="BG6" i="8"/>
  <c r="BL7" i="8" s="1"/>
  <c r="CP6" i="2" s="1"/>
  <c r="BG33" i="8"/>
  <c r="BL19" i="8"/>
  <c r="BC19" i="8"/>
  <c r="AX6" i="8"/>
  <c r="BC9" i="8" s="1"/>
  <c r="AX33" i="8"/>
  <c r="CF5" i="2"/>
  <c r="BB11" i="8"/>
  <c r="AS28" i="8"/>
  <c r="AS39" i="8" s="1"/>
  <c r="AS44" i="8" s="1"/>
  <c r="CA27" i="2"/>
  <c r="AW29" i="8"/>
  <c r="AW39" i="8"/>
  <c r="AW44" i="8" s="1"/>
  <c r="BG10" i="8"/>
  <c r="BB28" i="8"/>
  <c r="BB34" i="8"/>
  <c r="BV292" i="2"/>
  <c r="BV229" i="2"/>
  <c r="BV179" i="2"/>
  <c r="CF149" i="2" l="1"/>
  <c r="CF194" i="2"/>
  <c r="CK194" i="2" s="1"/>
  <c r="CP194" i="2" s="1"/>
  <c r="CU194" i="2" s="1"/>
  <c r="BW15" i="2"/>
  <c r="BW27" i="2" s="1"/>
  <c r="BW12" i="2"/>
  <c r="BW13" i="2" s="1"/>
  <c r="AQ42" i="8"/>
  <c r="AU6" i="8"/>
  <c r="BY5" i="2" s="1"/>
  <c r="BY6" i="2"/>
  <c r="BW20" i="2"/>
  <c r="BW22" i="2" s="1"/>
  <c r="BW187" i="2"/>
  <c r="CB187" i="2" s="1"/>
  <c r="CG187" i="2" s="1"/>
  <c r="CL187" i="2" s="1"/>
  <c r="CQ187" i="2" s="1"/>
  <c r="CV187" i="2" s="1"/>
  <c r="BW184" i="2"/>
  <c r="BW229" i="2" s="1"/>
  <c r="BW194" i="2"/>
  <c r="CB194" i="2" s="1"/>
  <c r="CG194" i="2" s="1"/>
  <c r="CL194" i="2" s="1"/>
  <c r="CQ194" i="2" s="1"/>
  <c r="CV194" i="2" s="1"/>
  <c r="BW195" i="2"/>
  <c r="BW183" i="2"/>
  <c r="BW189" i="2"/>
  <c r="CA11" i="2"/>
  <c r="BV16" i="2"/>
  <c r="BV17" i="2" s="1"/>
  <c r="CA29" i="2"/>
  <c r="BV21" i="2"/>
  <c r="BV20" i="2"/>
  <c r="BV22" i="2" s="1"/>
  <c r="AQ39" i="8"/>
  <c r="AQ44" i="8" s="1"/>
  <c r="AV7" i="8"/>
  <c r="BZ6" i="2" s="1"/>
  <c r="BL10" i="8"/>
  <c r="BL9" i="8"/>
  <c r="AV10" i="8"/>
  <c r="BT9" i="2"/>
  <c r="BT286" i="2"/>
  <c r="BU5" i="2"/>
  <c r="BT182" i="2"/>
  <c r="AQ34" i="8"/>
  <c r="AQ11" i="8"/>
  <c r="AP29" i="8"/>
  <c r="BV228" i="2"/>
  <c r="BV230" i="2"/>
  <c r="AX28" i="8"/>
  <c r="AX34" i="8"/>
  <c r="BG28" i="8"/>
  <c r="BG34" i="8"/>
  <c r="BW9" i="2"/>
  <c r="BW182" i="2"/>
  <c r="BW286" i="2"/>
  <c r="CA152" i="2"/>
  <c r="CA292" i="2"/>
  <c r="CA188" i="2"/>
  <c r="CA184" i="2"/>
  <c r="CA229" i="2" s="1"/>
  <c r="BH19" i="8"/>
  <c r="BC6" i="8"/>
  <c r="BH10" i="8" s="1"/>
  <c r="BC33" i="8"/>
  <c r="CK5" i="2"/>
  <c r="BG11" i="8"/>
  <c r="CA28" i="2"/>
  <c r="CA37" i="2"/>
  <c r="CA287" i="2"/>
  <c r="CF11" i="2"/>
  <c r="CF95" i="2" s="1"/>
  <c r="CF9" i="2"/>
  <c r="CF94" i="2"/>
  <c r="CF96" i="2"/>
  <c r="CF108" i="2"/>
  <c r="CF182" i="2"/>
  <c r="CF195" i="2"/>
  <c r="CF286" i="2"/>
  <c r="CB5" i="2"/>
  <c r="AX11" i="8"/>
  <c r="BL6" i="8"/>
  <c r="BQ7" i="8" s="1"/>
  <c r="CU6" i="2" s="1"/>
  <c r="BL33" i="8"/>
  <c r="BQ19" i="8"/>
  <c r="CF27" i="2"/>
  <c r="BB29" i="8"/>
  <c r="BB39" i="8"/>
  <c r="BB44" i="8" s="1"/>
  <c r="AS29" i="8"/>
  <c r="BC7" i="8"/>
  <c r="CG6" i="2" s="1"/>
  <c r="CG260" i="2" s="1"/>
  <c r="BC10" i="8"/>
  <c r="CB183" i="2" l="1"/>
  <c r="CG183" i="2" s="1"/>
  <c r="CL183" i="2" s="1"/>
  <c r="CQ183" i="2" s="1"/>
  <c r="CV183" i="2" s="1"/>
  <c r="BY189" i="2"/>
  <c r="BY15" i="2"/>
  <c r="BY27" i="2" s="1"/>
  <c r="BY37" i="2" s="1"/>
  <c r="BY48" i="2" s="1"/>
  <c r="BY179" i="2"/>
  <c r="BY187" i="2"/>
  <c r="CD187" i="2" s="1"/>
  <c r="CI187" i="2" s="1"/>
  <c r="CN187" i="2" s="1"/>
  <c r="CS187" i="2" s="1"/>
  <c r="CX187" i="2" s="1"/>
  <c r="BY195" i="2"/>
  <c r="BY194" i="2"/>
  <c r="CD194" i="2" s="1"/>
  <c r="CI194" i="2" s="1"/>
  <c r="CN194" i="2" s="1"/>
  <c r="CS194" i="2" s="1"/>
  <c r="CX194" i="2" s="1"/>
  <c r="BY182" i="2"/>
  <c r="BY184" i="2"/>
  <c r="BY183" i="2"/>
  <c r="CD183" i="2" s="1"/>
  <c r="CI183" i="2" s="1"/>
  <c r="CN183" i="2" s="1"/>
  <c r="CS183" i="2" s="1"/>
  <c r="CX183" i="2" s="1"/>
  <c r="BZ5" i="2"/>
  <c r="BZ12" i="2" s="1"/>
  <c r="BU15" i="2"/>
  <c r="AU11" i="8"/>
  <c r="BY260" i="2"/>
  <c r="BW28" i="2"/>
  <c r="BW30" i="2" s="1"/>
  <c r="BW37" i="2"/>
  <c r="BW48" i="2" s="1"/>
  <c r="BW29" i="2"/>
  <c r="CA15" i="2"/>
  <c r="CA16" i="2" s="1"/>
  <c r="CA17" i="2" s="1"/>
  <c r="CA107" i="2"/>
  <c r="CA95" i="2"/>
  <c r="CA186" i="2" s="1"/>
  <c r="CA228" i="2" s="1"/>
  <c r="CB12" i="2"/>
  <c r="CG12" i="2" s="1"/>
  <c r="CL12" i="2" s="1"/>
  <c r="CQ12" i="2" s="1"/>
  <c r="CV12" i="2" s="1"/>
  <c r="CA179" i="2"/>
  <c r="BV37" i="2"/>
  <c r="BV48" i="2" s="1"/>
  <c r="BV28" i="2"/>
  <c r="BV29" i="2"/>
  <c r="BV287" i="2"/>
  <c r="BU12" i="2"/>
  <c r="AV9" i="8"/>
  <c r="BT229" i="2"/>
  <c r="BU94" i="2"/>
  <c r="BU182" i="2"/>
  <c r="BU9" i="2"/>
  <c r="BU286" i="2"/>
  <c r="BU195" i="2"/>
  <c r="BU108" i="2"/>
  <c r="BH9" i="8"/>
  <c r="AZ19" i="8"/>
  <c r="AQ29" i="8"/>
  <c r="BT292" i="2"/>
  <c r="BH7" i="8"/>
  <c r="CL6" i="2" s="1"/>
  <c r="CL260" i="2" s="1"/>
  <c r="BU96" i="2"/>
  <c r="CP5" i="2"/>
  <c r="BL11" i="8"/>
  <c r="CB27" i="2"/>
  <c r="AX29" i="8"/>
  <c r="AX39" i="8"/>
  <c r="AX44" i="8" s="1"/>
  <c r="CF28" i="2"/>
  <c r="CF30" i="2" s="1"/>
  <c r="CF29" i="2"/>
  <c r="CF37" i="2"/>
  <c r="CF287" i="2"/>
  <c r="BQ6" i="8"/>
  <c r="BQ33" i="8"/>
  <c r="CB9" i="2"/>
  <c r="CB94" i="2"/>
  <c r="CB96" i="2"/>
  <c r="CB108" i="2"/>
  <c r="CB149" i="2"/>
  <c r="CB195" i="2"/>
  <c r="CB182" i="2"/>
  <c r="CB286" i="2"/>
  <c r="CF184" i="2"/>
  <c r="CF229" i="2" s="1"/>
  <c r="CF107" i="2"/>
  <c r="CF179" i="2"/>
  <c r="BC28" i="8"/>
  <c r="BC34" i="8"/>
  <c r="BW179" i="2"/>
  <c r="BV231" i="2"/>
  <c r="BV180" i="2"/>
  <c r="BQ10" i="8"/>
  <c r="BQ9" i="8"/>
  <c r="CF152" i="2"/>
  <c r="CF188" i="2"/>
  <c r="CF292" i="2"/>
  <c r="CK11" i="2"/>
  <c r="CK15" i="2" s="1"/>
  <c r="CK16" i="2" s="1"/>
  <c r="CK9" i="2"/>
  <c r="CK94" i="2"/>
  <c r="CK96" i="2"/>
  <c r="CK182" i="2"/>
  <c r="CK108" i="2"/>
  <c r="CK149" i="2"/>
  <c r="CK195" i="2"/>
  <c r="CK286" i="2"/>
  <c r="CG5" i="2"/>
  <c r="BC11" i="8"/>
  <c r="BM19" i="8"/>
  <c r="BH6" i="8"/>
  <c r="BM10" i="8" s="1"/>
  <c r="BH33" i="8"/>
  <c r="CA38" i="2"/>
  <c r="CA222" i="2"/>
  <c r="CA224" i="2" s="1"/>
  <c r="BL28" i="8"/>
  <c r="BL34" i="8"/>
  <c r="CF15" i="2"/>
  <c r="CF16" i="2" s="1"/>
  <c r="BW292" i="2"/>
  <c r="CK27" i="2"/>
  <c r="BG29" i="8"/>
  <c r="BG39" i="8"/>
  <c r="BG44" i="8" s="1"/>
  <c r="BZ9" i="2" l="1"/>
  <c r="BZ15" i="2"/>
  <c r="BY63" i="2"/>
  <c r="BY58" i="2"/>
  <c r="BY52" i="2"/>
  <c r="BY181" i="2" s="1"/>
  <c r="BV58" i="2"/>
  <c r="BV63" i="2"/>
  <c r="BV52" i="2"/>
  <c r="BW58" i="2"/>
  <c r="BW63" i="2"/>
  <c r="BW52" i="2"/>
  <c r="BZ27" i="2"/>
  <c r="BZ37" i="2" s="1"/>
  <c r="BZ48" i="2" s="1"/>
  <c r="BZ16" i="2"/>
  <c r="CE12" i="2"/>
  <c r="CJ12" i="2" s="1"/>
  <c r="CO12" i="2" s="1"/>
  <c r="CT12" i="2" s="1"/>
  <c r="CY12" i="2" s="1"/>
  <c r="BZ13" i="2"/>
  <c r="AU28" i="8"/>
  <c r="AU39" i="8" s="1"/>
  <c r="AU44" i="8" s="1"/>
  <c r="CF17" i="2"/>
  <c r="CB11" i="2"/>
  <c r="CB15" i="2" s="1"/>
  <c r="CB16" i="2" s="1"/>
  <c r="CA39" i="2"/>
  <c r="CA19" i="2"/>
  <c r="CA20" i="2" s="1"/>
  <c r="CA22" i="2" s="1"/>
  <c r="CA193" i="2"/>
  <c r="CA230" i="2" s="1"/>
  <c r="CA231" i="2" s="1"/>
  <c r="BW287" i="2"/>
  <c r="BW16" i="2"/>
  <c r="BU13" i="2"/>
  <c r="BV30" i="2"/>
  <c r="BV38" i="2"/>
  <c r="BV222" i="2"/>
  <c r="BV39" i="2"/>
  <c r="CA30" i="2"/>
  <c r="BZ260" i="2"/>
  <c r="AV6" i="8"/>
  <c r="AZ9" i="8"/>
  <c r="BU16" i="2"/>
  <c r="BU179" i="2"/>
  <c r="BA23" i="8"/>
  <c r="BA20" i="8"/>
  <c r="BA21" i="8"/>
  <c r="BA22" i="8"/>
  <c r="BA24" i="8"/>
  <c r="BU99" i="2"/>
  <c r="BV190" i="2" s="1"/>
  <c r="CA190" i="2" s="1"/>
  <c r="AZ7" i="8"/>
  <c r="CD6" i="2" s="1"/>
  <c r="CD260" i="2" s="1"/>
  <c r="AU34" i="8"/>
  <c r="BU194" i="2"/>
  <c r="AZ10" i="8"/>
  <c r="BU187" i="2"/>
  <c r="BU292" i="2"/>
  <c r="BU152" i="2"/>
  <c r="BU189" i="2"/>
  <c r="BU188" i="2"/>
  <c r="BA19" i="8"/>
  <c r="AZ33" i="8"/>
  <c r="AZ6" i="8"/>
  <c r="BE19" i="8"/>
  <c r="BU183" i="2"/>
  <c r="BU184" i="2"/>
  <c r="BU229" i="2" s="1"/>
  <c r="CP11" i="2"/>
  <c r="CP15" i="2" s="1"/>
  <c r="CP16" i="2" s="1"/>
  <c r="CP17" i="2" s="1"/>
  <c r="CP9" i="2"/>
  <c r="CP94" i="2"/>
  <c r="CP96" i="2"/>
  <c r="CP182" i="2"/>
  <c r="CP108" i="2"/>
  <c r="CP149" i="2"/>
  <c r="CP195" i="2"/>
  <c r="CP286" i="2"/>
  <c r="BM7" i="8"/>
  <c r="CQ6" i="2" s="1"/>
  <c r="CK152" i="2"/>
  <c r="CK188" i="2"/>
  <c r="CK292" i="2"/>
  <c r="CK184" i="2"/>
  <c r="CK229" i="2" s="1"/>
  <c r="CK95" i="2"/>
  <c r="CK107" i="2"/>
  <c r="CK179" i="2"/>
  <c r="CF186" i="2"/>
  <c r="CF228" i="2" s="1"/>
  <c r="CB144" i="2"/>
  <c r="CC144" i="2"/>
  <c r="BQ28" i="8"/>
  <c r="BQ34" i="8"/>
  <c r="CL5" i="2"/>
  <c r="BH11" i="8"/>
  <c r="CG9" i="2"/>
  <c r="CG11" i="2"/>
  <c r="CG94" i="2"/>
  <c r="CG96" i="2"/>
  <c r="CG108" i="2"/>
  <c r="CG149" i="2"/>
  <c r="CG195" i="2"/>
  <c r="CG182" i="2"/>
  <c r="CG286" i="2"/>
  <c r="CB140" i="2"/>
  <c r="CC140" i="2"/>
  <c r="CB184" i="2"/>
  <c r="CB229" i="2" s="1"/>
  <c r="CK28" i="2"/>
  <c r="CK30" i="2" s="1"/>
  <c r="CK19" i="2"/>
  <c r="CK29" i="2"/>
  <c r="CK37" i="2"/>
  <c r="CK287" i="2"/>
  <c r="BH28" i="8"/>
  <c r="BH34" i="8"/>
  <c r="CG27" i="2"/>
  <c r="BC29" i="8"/>
  <c r="BC39" i="8"/>
  <c r="BC44" i="8" s="1"/>
  <c r="CC142" i="2"/>
  <c r="CB142" i="2"/>
  <c r="CU5" i="2"/>
  <c r="BQ11" i="8"/>
  <c r="CF38" i="2"/>
  <c r="CF39" i="2"/>
  <c r="CF222" i="2"/>
  <c r="CF224" i="2" s="1"/>
  <c r="CB29" i="2"/>
  <c r="CB37" i="2"/>
  <c r="CB28" i="2"/>
  <c r="CB287" i="2"/>
  <c r="CP27" i="2"/>
  <c r="BL29" i="8"/>
  <c r="BL39" i="8"/>
  <c r="BL44" i="8" s="1"/>
  <c r="BM9" i="8"/>
  <c r="BR19" i="8"/>
  <c r="BM6" i="8"/>
  <c r="BR9" i="8" s="1"/>
  <c r="BM33" i="8"/>
  <c r="CK17" i="2"/>
  <c r="BW230" i="2"/>
  <c r="CF193" i="2"/>
  <c r="CF230" i="2" s="1"/>
  <c r="CB152" i="2"/>
  <c r="CB188" i="2"/>
  <c r="CB292" i="2"/>
  <c r="CF19" i="2"/>
  <c r="CF190" i="2" l="1"/>
  <c r="BZ63" i="2"/>
  <c r="BY60" i="2"/>
  <c r="BY132" i="2"/>
  <c r="BY138" i="2" s="1"/>
  <c r="BZ58" i="2"/>
  <c r="BZ52" i="2"/>
  <c r="BW60" i="2"/>
  <c r="BW132" i="2"/>
  <c r="BW138" i="2" s="1"/>
  <c r="BV60" i="2"/>
  <c r="BV132" i="2"/>
  <c r="BV138" i="2" s="1"/>
  <c r="BU17" i="2"/>
  <c r="BZ17" i="2"/>
  <c r="AV41" i="8"/>
  <c r="AV46" i="8" s="1"/>
  <c r="AV34" i="8"/>
  <c r="AV29" i="8"/>
  <c r="AV42" i="8"/>
  <c r="BZ94" i="2"/>
  <c r="CA140" i="2" s="1"/>
  <c r="CB95" i="2"/>
  <c r="CC141" i="2" s="1"/>
  <c r="CA180" i="2"/>
  <c r="CB17" i="2"/>
  <c r="CB19" i="2"/>
  <c r="CB20" i="2" s="1"/>
  <c r="CB179" i="2"/>
  <c r="CK190" i="2"/>
  <c r="CP190" i="2" s="1"/>
  <c r="CU190" i="2" s="1"/>
  <c r="CB107" i="2"/>
  <c r="CC143" i="2" s="1"/>
  <c r="BW38" i="2"/>
  <c r="BW39" i="2"/>
  <c r="CA21" i="2"/>
  <c r="BW222" i="2"/>
  <c r="CB30" i="2"/>
  <c r="BW17" i="2"/>
  <c r="BF23" i="8"/>
  <c r="BA7" i="8"/>
  <c r="CE6" i="2" s="1"/>
  <c r="CE260" i="2" s="1"/>
  <c r="BT27" i="2"/>
  <c r="BA9" i="8"/>
  <c r="BF22" i="8"/>
  <c r="BF24" i="8"/>
  <c r="BR10" i="8"/>
  <c r="BR7" i="8"/>
  <c r="CV6" i="2" s="1"/>
  <c r="BA10" i="8"/>
  <c r="AU29" i="8"/>
  <c r="BE10" i="8"/>
  <c r="BE9" i="8"/>
  <c r="CD5" i="2"/>
  <c r="AZ11" i="8"/>
  <c r="BE7" i="8"/>
  <c r="CI6" i="2" s="1"/>
  <c r="CI260" i="2" s="1"/>
  <c r="BA6" i="8"/>
  <c r="BF20" i="8"/>
  <c r="BA25" i="8"/>
  <c r="BT179" i="2"/>
  <c r="BT12" i="2"/>
  <c r="BE6" i="8"/>
  <c r="BJ10" i="8" s="1"/>
  <c r="BF19" i="8"/>
  <c r="BE33" i="8"/>
  <c r="BJ19" i="8"/>
  <c r="BW291" i="2"/>
  <c r="BA33" i="8"/>
  <c r="AZ28" i="8"/>
  <c r="AZ34" i="8"/>
  <c r="BF21" i="8"/>
  <c r="BU190" i="2"/>
  <c r="BU191" i="2"/>
  <c r="BY9" i="2"/>
  <c r="BY286" i="2"/>
  <c r="AV11" i="8"/>
  <c r="CP28" i="2"/>
  <c r="CP30" i="2" s="1"/>
  <c r="CP19" i="2"/>
  <c r="CP29" i="2"/>
  <c r="CP37" i="2"/>
  <c r="CP287" i="2"/>
  <c r="CG29" i="2"/>
  <c r="CG37" i="2"/>
  <c r="CG28" i="2"/>
  <c r="CG30" i="2" s="1"/>
  <c r="CG287" i="2"/>
  <c r="CK38" i="2"/>
  <c r="CK39" i="2"/>
  <c r="CK222" i="2"/>
  <c r="CK224" i="2" s="1"/>
  <c r="CG95" i="2"/>
  <c r="CG107" i="2"/>
  <c r="CG179" i="2"/>
  <c r="BM28" i="8"/>
  <c r="BM34" i="8"/>
  <c r="CK20" i="2"/>
  <c r="CK21" i="2"/>
  <c r="CH140" i="2"/>
  <c r="CG140" i="2"/>
  <c r="CG184" i="2"/>
  <c r="CG229" i="2" s="1"/>
  <c r="CU27" i="2"/>
  <c r="BQ29" i="8"/>
  <c r="BQ39" i="8"/>
  <c r="BQ44" i="8" s="1"/>
  <c r="CP152" i="2"/>
  <c r="CP188" i="2"/>
  <c r="CP292" i="2"/>
  <c r="CP184" i="2"/>
  <c r="CP229" i="2" s="1"/>
  <c r="CP95" i="2"/>
  <c r="CP107" i="2"/>
  <c r="CP179" i="2"/>
  <c r="CH144" i="2"/>
  <c r="CG144" i="2"/>
  <c r="CL9" i="2"/>
  <c r="CL11" i="2"/>
  <c r="CL15" i="2" s="1"/>
  <c r="CL16" i="2" s="1"/>
  <c r="CL94" i="2"/>
  <c r="CL96" i="2"/>
  <c r="CL108" i="2"/>
  <c r="CL149" i="2"/>
  <c r="CL195" i="2"/>
  <c r="CL182" i="2"/>
  <c r="CL286" i="2"/>
  <c r="CF20" i="2"/>
  <c r="CF21" i="2"/>
  <c r="CQ5" i="2"/>
  <c r="BM11" i="8"/>
  <c r="BX291" i="2"/>
  <c r="CG152" i="2"/>
  <c r="CG188" i="2"/>
  <c r="CG292" i="2"/>
  <c r="CG15" i="2"/>
  <c r="CG16" i="2" s="1"/>
  <c r="CG17" i="2" s="1"/>
  <c r="BW231" i="2"/>
  <c r="BR6" i="8"/>
  <c r="BR33" i="8"/>
  <c r="CK193" i="2"/>
  <c r="CK230" i="2" s="1"/>
  <c r="CB39" i="2"/>
  <c r="CB38" i="2"/>
  <c r="CB222" i="2"/>
  <c r="CB224" i="2" s="1"/>
  <c r="CU11" i="2"/>
  <c r="CU15" i="2" s="1"/>
  <c r="CU16" i="2" s="1"/>
  <c r="CU17" i="2" s="1"/>
  <c r="CU9" i="2"/>
  <c r="CU94" i="2"/>
  <c r="CU96" i="2"/>
  <c r="CU182" i="2"/>
  <c r="CU108" i="2"/>
  <c r="CU149" i="2"/>
  <c r="CU286" i="2"/>
  <c r="CU195" i="2"/>
  <c r="CL27" i="2"/>
  <c r="BH29" i="8"/>
  <c r="BH39" i="8"/>
  <c r="BH44" i="8" s="1"/>
  <c r="CH142" i="2"/>
  <c r="CG142" i="2"/>
  <c r="CF231" i="2"/>
  <c r="CK186" i="2"/>
  <c r="CK228" i="2" s="1"/>
  <c r="BT37" i="2" l="1"/>
  <c r="AV39" i="8"/>
  <c r="AV44" i="8" s="1"/>
  <c r="CB141" i="2"/>
  <c r="CB143" i="2"/>
  <c r="BZ108" i="2"/>
  <c r="CB186" i="2"/>
  <c r="CB228" i="2" s="1"/>
  <c r="BZ96" i="2"/>
  <c r="CB21" i="2"/>
  <c r="CB193" i="2"/>
  <c r="CB230" i="2" s="1"/>
  <c r="BA42" i="8"/>
  <c r="CK231" i="2"/>
  <c r="BK24" i="8"/>
  <c r="BT29" i="2"/>
  <c r="BT28" i="2"/>
  <c r="BT287" i="2"/>
  <c r="CD72" i="2"/>
  <c r="BF7" i="8"/>
  <c r="CJ6" i="2" s="1"/>
  <c r="CJ260" i="2" s="1"/>
  <c r="BT13" i="2"/>
  <c r="BT16" i="2"/>
  <c r="CC291" i="2"/>
  <c r="BJ9" i="8"/>
  <c r="CL17" i="2"/>
  <c r="BY292" i="2"/>
  <c r="BV41" i="2"/>
  <c r="BV42" i="2" s="1"/>
  <c r="BK22" i="8"/>
  <c r="BF25" i="8"/>
  <c r="BK23" i="8"/>
  <c r="BK20" i="8"/>
  <c r="BF6" i="8"/>
  <c r="CI5" i="2"/>
  <c r="BE11" i="8"/>
  <c r="BT228" i="2"/>
  <c r="BU95" i="2"/>
  <c r="BT230" i="2"/>
  <c r="BU107" i="2"/>
  <c r="CE5" i="2"/>
  <c r="CD108" i="2"/>
  <c r="CD286" i="2"/>
  <c r="CD149" i="2"/>
  <c r="CD94" i="2"/>
  <c r="CD195" i="2"/>
  <c r="CD96" i="2"/>
  <c r="CD9" i="2"/>
  <c r="CD182" i="2"/>
  <c r="BZ195" i="2"/>
  <c r="BZ182" i="2"/>
  <c r="BZ286" i="2"/>
  <c r="BY229" i="2"/>
  <c r="AZ29" i="8"/>
  <c r="CD27" i="2"/>
  <c r="AZ39" i="8"/>
  <c r="AZ44" i="8" s="1"/>
  <c r="BJ33" i="8"/>
  <c r="BK19" i="8"/>
  <c r="BO19" i="8"/>
  <c r="BJ6" i="8"/>
  <c r="BJ7" i="8"/>
  <c r="CN6" i="2" s="1"/>
  <c r="CN260" i="2" s="1"/>
  <c r="BT17" i="2"/>
  <c r="BF10" i="8"/>
  <c r="BA11" i="8"/>
  <c r="BA34" i="8"/>
  <c r="BA28" i="8"/>
  <c r="BA41" i="8"/>
  <c r="BA46" i="8" s="1"/>
  <c r="BF33" i="8"/>
  <c r="BE34" i="8"/>
  <c r="BE28" i="8"/>
  <c r="BK21" i="8"/>
  <c r="BF9" i="8"/>
  <c r="CC268" i="2"/>
  <c r="BR28" i="8"/>
  <c r="BR34" i="8"/>
  <c r="CQ9" i="2"/>
  <c r="CQ11" i="2"/>
  <c r="CQ94" i="2"/>
  <c r="CQ96" i="2"/>
  <c r="CQ108" i="2"/>
  <c r="CQ149" i="2"/>
  <c r="CQ195" i="2"/>
  <c r="CQ182" i="2"/>
  <c r="CQ286" i="2"/>
  <c r="CL140" i="2"/>
  <c r="CM140" i="2"/>
  <c r="CL184" i="2"/>
  <c r="CL229" i="2" s="1"/>
  <c r="CV5" i="2"/>
  <c r="BR11" i="8"/>
  <c r="CB22" i="2"/>
  <c r="CB180" i="2"/>
  <c r="CL152" i="2"/>
  <c r="CL188" i="2"/>
  <c r="CL292" i="2"/>
  <c r="CP193" i="2"/>
  <c r="CP230" i="2" s="1"/>
  <c r="CK22" i="2"/>
  <c r="CK180" i="2"/>
  <c r="CQ27" i="2"/>
  <c r="BM29" i="8"/>
  <c r="BM39" i="8"/>
  <c r="BM44" i="8" s="1"/>
  <c r="CH143" i="2"/>
  <c r="CG143" i="2"/>
  <c r="CG193" i="2"/>
  <c r="CG230" i="2" s="1"/>
  <c r="CG19" i="2"/>
  <c r="CP38" i="2"/>
  <c r="CP39" i="2"/>
  <c r="CP222" i="2"/>
  <c r="CP224" i="2" s="1"/>
  <c r="CL144" i="2"/>
  <c r="CM144" i="2"/>
  <c r="CL95" i="2"/>
  <c r="CL107" i="2"/>
  <c r="CL179" i="2"/>
  <c r="BW180" i="2"/>
  <c r="CP186" i="2"/>
  <c r="CP228" i="2" s="1"/>
  <c r="CH141" i="2"/>
  <c r="CG141" i="2"/>
  <c r="CG186" i="2"/>
  <c r="CG228" i="2" s="1"/>
  <c r="CL19" i="2"/>
  <c r="CL29" i="2"/>
  <c r="CL37" i="2"/>
  <c r="CL28" i="2"/>
  <c r="CL30" i="2" s="1"/>
  <c r="CL287" i="2"/>
  <c r="CU152" i="2"/>
  <c r="CU292" i="2"/>
  <c r="CU188" i="2"/>
  <c r="CU184" i="2"/>
  <c r="CU229" i="2" s="1"/>
  <c r="CU95" i="2"/>
  <c r="CU107" i="2"/>
  <c r="CU179" i="2"/>
  <c r="CF22" i="2"/>
  <c r="CF180" i="2"/>
  <c r="CM142" i="2"/>
  <c r="CL142" i="2"/>
  <c r="CU28" i="2"/>
  <c r="CU30" i="2" s="1"/>
  <c r="CU19" i="2"/>
  <c r="CU29" i="2"/>
  <c r="CU37" i="2"/>
  <c r="CU287" i="2"/>
  <c r="CG39" i="2"/>
  <c r="CG38" i="2"/>
  <c r="CG222" i="2"/>
  <c r="CG224" i="2" s="1"/>
  <c r="CP20" i="2"/>
  <c r="CP21" i="2"/>
  <c r="BF42" i="8" l="1"/>
  <c r="BT42" i="2"/>
  <c r="BT48" i="2"/>
  <c r="CB268" i="2"/>
  <c r="CB291" i="2"/>
  <c r="CB231" i="2"/>
  <c r="CG231" i="2"/>
  <c r="BT30" i="2"/>
  <c r="BT39" i="2"/>
  <c r="BT38" i="2"/>
  <c r="BT222" i="2"/>
  <c r="CG268" i="2"/>
  <c r="CH291" i="2"/>
  <c r="BT20" i="2"/>
  <c r="BT21" i="2"/>
  <c r="CP231" i="2"/>
  <c r="BK25" i="8"/>
  <c r="BP23" i="8"/>
  <c r="BP20" i="8"/>
  <c r="BP21" i="8"/>
  <c r="BZ179" i="2"/>
  <c r="CE108" i="2"/>
  <c r="CD144" i="2"/>
  <c r="BT291" i="2"/>
  <c r="BF11" i="8"/>
  <c r="BA29" i="8"/>
  <c r="BA39" i="8"/>
  <c r="BA44" i="8" s="1"/>
  <c r="BP24" i="8"/>
  <c r="BK33" i="8"/>
  <c r="BJ28" i="8"/>
  <c r="BJ34" i="8"/>
  <c r="CE149" i="2"/>
  <c r="CD188" i="2"/>
  <c r="CD152" i="2"/>
  <c r="CD292" i="2"/>
  <c r="BU186" i="2"/>
  <c r="BU228" i="2" s="1"/>
  <c r="BU185" i="2"/>
  <c r="CI96" i="2"/>
  <c r="CI182" i="2"/>
  <c r="CI108" i="2"/>
  <c r="CI9" i="2"/>
  <c r="CI149" i="2"/>
  <c r="CI94" i="2"/>
  <c r="CI286" i="2"/>
  <c r="CJ5" i="2"/>
  <c r="CI195" i="2"/>
  <c r="BK9" i="8"/>
  <c r="BZ189" i="2"/>
  <c r="BZ292" i="2"/>
  <c r="BZ188" i="2"/>
  <c r="CA142" i="2"/>
  <c r="BZ187" i="2"/>
  <c r="BE29" i="8"/>
  <c r="CI27" i="2"/>
  <c r="BE39" i="8"/>
  <c r="BE44" i="8" s="1"/>
  <c r="BP19" i="8"/>
  <c r="BU22" i="8" s="1"/>
  <c r="BT19" i="8"/>
  <c r="BO6" i="8"/>
  <c r="BT9" i="8" s="1"/>
  <c r="BO33" i="8"/>
  <c r="BZ184" i="2"/>
  <c r="BZ229" i="2" s="1"/>
  <c r="BZ183" i="2"/>
  <c r="CE96" i="2"/>
  <c r="CD142" i="2"/>
  <c r="BU192" i="2"/>
  <c r="BU193" i="2"/>
  <c r="BU230" i="2" s="1"/>
  <c r="BT231" i="2"/>
  <c r="BO10" i="8"/>
  <c r="CN5" i="2"/>
  <c r="BK6" i="8"/>
  <c r="BK42" i="8" s="1"/>
  <c r="BO7" i="8"/>
  <c r="CS6" i="2" s="1"/>
  <c r="BO9" i="8"/>
  <c r="BJ11" i="8"/>
  <c r="CD28" i="2"/>
  <c r="CD287" i="2"/>
  <c r="CD37" i="2"/>
  <c r="CG291" i="2"/>
  <c r="BF34" i="8"/>
  <c r="BF41" i="8"/>
  <c r="BF46" i="8" s="1"/>
  <c r="BF28" i="8"/>
  <c r="BP22" i="8"/>
  <c r="BZ194" i="2"/>
  <c r="CA144" i="2"/>
  <c r="CD184" i="2"/>
  <c r="CD229" i="2" s="1"/>
  <c r="CE94" i="2"/>
  <c r="CD140" i="2"/>
  <c r="CE11" i="2"/>
  <c r="CE182" i="2"/>
  <c r="CE9" i="2"/>
  <c r="CE195" i="2"/>
  <c r="CE286" i="2"/>
  <c r="BK7" i="8"/>
  <c r="CO6" i="2" s="1"/>
  <c r="CO260" i="2" s="1"/>
  <c r="BK10" i="8"/>
  <c r="CQ29" i="2"/>
  <c r="CQ37" i="2"/>
  <c r="CQ28" i="2"/>
  <c r="CQ30" i="2" s="1"/>
  <c r="CQ287" i="2"/>
  <c r="CQ95" i="2"/>
  <c r="CQ107" i="2"/>
  <c r="CQ179" i="2"/>
  <c r="CH268" i="2"/>
  <c r="CR140" i="2"/>
  <c r="CQ140" i="2"/>
  <c r="CQ184" i="2"/>
  <c r="CQ229" i="2" s="1"/>
  <c r="CV27" i="2"/>
  <c r="BR29" i="8"/>
  <c r="BR39" i="8"/>
  <c r="BR44" i="8" s="1"/>
  <c r="CU20" i="2"/>
  <c r="CU21" i="2"/>
  <c r="CU186" i="2"/>
  <c r="CU228" i="2" s="1"/>
  <c r="CP22" i="2"/>
  <c r="CP180" i="2"/>
  <c r="CL39" i="2"/>
  <c r="CL38" i="2"/>
  <c r="CL222" i="2"/>
  <c r="CL224" i="2" s="1"/>
  <c r="CL143" i="2"/>
  <c r="CM143" i="2"/>
  <c r="CL193" i="2"/>
  <c r="CL230" i="2" s="1"/>
  <c r="CQ152" i="2"/>
  <c r="CQ188" i="2"/>
  <c r="CQ292" i="2"/>
  <c r="CQ15" i="2"/>
  <c r="CQ16" i="2" s="1"/>
  <c r="CQ17" i="2" s="1"/>
  <c r="CU38" i="2"/>
  <c r="CU39" i="2"/>
  <c r="CU222" i="2"/>
  <c r="CU224" i="2" s="1"/>
  <c r="CL141" i="2"/>
  <c r="CM141" i="2"/>
  <c r="CL186" i="2"/>
  <c r="CL228" i="2" s="1"/>
  <c r="CV9" i="2"/>
  <c r="CV11" i="2"/>
  <c r="CV15" i="2" s="1"/>
  <c r="CV16" i="2" s="1"/>
  <c r="CV17" i="2" s="1"/>
  <c r="CV94" i="2"/>
  <c r="CV96" i="2"/>
  <c r="CV108" i="2"/>
  <c r="CV149" i="2"/>
  <c r="CV195" i="2"/>
  <c r="CV182" i="2"/>
  <c r="CV286" i="2"/>
  <c r="CR144" i="2"/>
  <c r="CQ144" i="2"/>
  <c r="CU193" i="2"/>
  <c r="CU230" i="2" s="1"/>
  <c r="CL21" i="2"/>
  <c r="CL20" i="2"/>
  <c r="CG21" i="2"/>
  <c r="CG20" i="2"/>
  <c r="CR142" i="2"/>
  <c r="CQ142" i="2"/>
  <c r="BT58" i="2" l="1"/>
  <c r="BY12" i="2"/>
  <c r="BY13" i="2" s="1"/>
  <c r="BV43" i="2"/>
  <c r="BV289" i="2"/>
  <c r="BT289" i="2"/>
  <c r="BT43" i="2"/>
  <c r="BT22" i="2"/>
  <c r="CL231" i="2"/>
  <c r="CM291" i="2"/>
  <c r="CE142" i="2"/>
  <c r="BU21" i="8"/>
  <c r="CL268" i="2"/>
  <c r="BU231" i="2"/>
  <c r="CD38" i="2"/>
  <c r="CD222" i="2"/>
  <c r="CM268" i="2"/>
  <c r="BW41" i="2"/>
  <c r="BW42" i="2" s="1"/>
  <c r="BU21" i="2"/>
  <c r="BU27" i="2"/>
  <c r="BU28" i="2" s="1"/>
  <c r="BU20" i="2"/>
  <c r="BK11" i="8"/>
  <c r="CE187" i="2"/>
  <c r="CF142" i="2"/>
  <c r="BO28" i="8"/>
  <c r="BP33" i="8"/>
  <c r="BO34" i="8"/>
  <c r="BP25" i="8"/>
  <c r="BU20" i="8"/>
  <c r="CJ94" i="2"/>
  <c r="CI184" i="2"/>
  <c r="CI229" i="2" s="1"/>
  <c r="CI140" i="2"/>
  <c r="CJ108" i="2"/>
  <c r="CI144" i="2"/>
  <c r="CE188" i="2"/>
  <c r="CE292" i="2"/>
  <c r="CE152" i="2"/>
  <c r="CE189" i="2"/>
  <c r="BK41" i="8"/>
  <c r="BK46" i="8" s="1"/>
  <c r="BK28" i="8"/>
  <c r="BK34" i="8"/>
  <c r="BP7" i="8"/>
  <c r="CT6" i="2" s="1"/>
  <c r="BT6" i="8"/>
  <c r="BU19" i="8"/>
  <c r="BT33" i="8"/>
  <c r="CI142" i="2"/>
  <c r="CJ96" i="2"/>
  <c r="CF140" i="2"/>
  <c r="CE184" i="2"/>
  <c r="CE229" i="2" s="1"/>
  <c r="CE183" i="2"/>
  <c r="CE144" i="2"/>
  <c r="CN96" i="2"/>
  <c r="CN182" i="2"/>
  <c r="CN108" i="2"/>
  <c r="CN9" i="2"/>
  <c r="CN149" i="2"/>
  <c r="CN286" i="2"/>
  <c r="CO5" i="2"/>
  <c r="CN94" i="2"/>
  <c r="CN195" i="2"/>
  <c r="CE140" i="2"/>
  <c r="BT10" i="8"/>
  <c r="BT7" i="8"/>
  <c r="CX6" i="2" s="1"/>
  <c r="BO11" i="8"/>
  <c r="BP6" i="8"/>
  <c r="CS5" i="2"/>
  <c r="CI287" i="2"/>
  <c r="CI29" i="2"/>
  <c r="CI37" i="2"/>
  <c r="CI28" i="2"/>
  <c r="CI30" i="2" s="1"/>
  <c r="CJ11" i="2"/>
  <c r="CJ286" i="2"/>
  <c r="CJ195" i="2"/>
  <c r="CJ9" i="2"/>
  <c r="CJ182" i="2"/>
  <c r="BV291" i="2"/>
  <c r="BP10" i="8"/>
  <c r="BU291" i="2"/>
  <c r="BP9" i="8"/>
  <c r="BT180" i="2"/>
  <c r="CI188" i="2"/>
  <c r="CI292" i="2"/>
  <c r="CI152" i="2"/>
  <c r="CJ149" i="2"/>
  <c r="CE15" i="2"/>
  <c r="CE16" i="2" s="1"/>
  <c r="CE17" i="2" s="1"/>
  <c r="CD11" i="2"/>
  <c r="CE179" i="2"/>
  <c r="BF29" i="8"/>
  <c r="BF39" i="8"/>
  <c r="BF44" i="8" s="1"/>
  <c r="BU24" i="8"/>
  <c r="BU23" i="8"/>
  <c r="CN27" i="2"/>
  <c r="BJ29" i="8"/>
  <c r="BJ39" i="8"/>
  <c r="BJ44" i="8" s="1"/>
  <c r="CE194" i="2"/>
  <c r="CF144" i="2"/>
  <c r="CV144" i="2"/>
  <c r="CW144" i="2"/>
  <c r="CV95" i="2"/>
  <c r="CV107" i="2"/>
  <c r="CV179" i="2"/>
  <c r="CU231" i="2"/>
  <c r="CU22" i="2"/>
  <c r="CU180" i="2"/>
  <c r="CG22" i="2"/>
  <c r="CG180" i="2"/>
  <c r="CL22" i="2"/>
  <c r="CL180" i="2"/>
  <c r="CW142" i="2"/>
  <c r="CV142" i="2"/>
  <c r="CR143" i="2"/>
  <c r="CQ143" i="2"/>
  <c r="CQ193" i="2"/>
  <c r="CQ230" i="2" s="1"/>
  <c r="CQ19" i="2"/>
  <c r="CV140" i="2"/>
  <c r="CW140" i="2"/>
  <c r="CV184" i="2"/>
  <c r="CV229" i="2" s="1"/>
  <c r="CL291" i="2"/>
  <c r="CR141" i="2"/>
  <c r="CQ141" i="2"/>
  <c r="CQ186" i="2"/>
  <c r="CQ228" i="2" s="1"/>
  <c r="CV152" i="2"/>
  <c r="CV188" i="2"/>
  <c r="CV292" i="2"/>
  <c r="CV19" i="2"/>
  <c r="CV29" i="2"/>
  <c r="CV37" i="2"/>
  <c r="CV28" i="2"/>
  <c r="CV30" i="2" s="1"/>
  <c r="CV287" i="2"/>
  <c r="CQ39" i="2"/>
  <c r="CQ38" i="2"/>
  <c r="CQ222" i="2"/>
  <c r="CQ224" i="2" s="1"/>
  <c r="CR268" i="2" l="1"/>
  <c r="BT132" i="2"/>
  <c r="BT138" i="2" s="1"/>
  <c r="BY16" i="2"/>
  <c r="BY17" i="2" s="1"/>
  <c r="BZ107" i="2"/>
  <c r="CA143" i="2" s="1"/>
  <c r="BZ95" i="2"/>
  <c r="CA141" i="2" s="1"/>
  <c r="CJ140" i="2"/>
  <c r="CJ142" i="2"/>
  <c r="CQ291" i="2"/>
  <c r="CQ231" i="2"/>
  <c r="CQ268" i="2"/>
  <c r="BP11" i="8"/>
  <c r="CO149" i="2"/>
  <c r="CN188" i="2"/>
  <c r="CN152" i="2"/>
  <c r="CN292" i="2"/>
  <c r="BU10" i="8"/>
  <c r="CJ15" i="2"/>
  <c r="CJ16" i="2" s="1"/>
  <c r="CJ17" i="2" s="1"/>
  <c r="CI11" i="2"/>
  <c r="CJ179" i="2"/>
  <c r="CS96" i="2"/>
  <c r="CS182" i="2"/>
  <c r="CS286" i="2"/>
  <c r="CT5" i="2"/>
  <c r="CS9" i="2"/>
  <c r="CS149" i="2"/>
  <c r="CS94" i="2"/>
  <c r="CS195" i="2"/>
  <c r="CS108" i="2"/>
  <c r="CJ187" i="2"/>
  <c r="CK142" i="2"/>
  <c r="CS27" i="2"/>
  <c r="BO29" i="8"/>
  <c r="BO39" i="8"/>
  <c r="BO44" i="8" s="1"/>
  <c r="BY230" i="2"/>
  <c r="CJ183" i="2"/>
  <c r="CJ184" i="2"/>
  <c r="CJ229" i="2" s="1"/>
  <c r="CK140" i="2"/>
  <c r="CJ152" i="2"/>
  <c r="CJ189" i="2"/>
  <c r="CJ292" i="2"/>
  <c r="CJ188" i="2"/>
  <c r="CO11" i="2"/>
  <c r="CO286" i="2"/>
  <c r="CO195" i="2"/>
  <c r="CO182" i="2"/>
  <c r="CO9" i="2"/>
  <c r="BU33" i="8"/>
  <c r="BT34" i="8"/>
  <c r="BT28" i="8"/>
  <c r="BT11" i="8"/>
  <c r="CX5" i="2"/>
  <c r="BU6" i="8"/>
  <c r="BY228" i="2"/>
  <c r="BK29" i="8"/>
  <c r="BK39" i="8"/>
  <c r="BK44" i="8" s="1"/>
  <c r="CJ194" i="2"/>
  <c r="CK144" i="2"/>
  <c r="BU30" i="2"/>
  <c r="BU29" i="2"/>
  <c r="BU37" i="2"/>
  <c r="BU287" i="2"/>
  <c r="CN37" i="2"/>
  <c r="CN287" i="2"/>
  <c r="CN28" i="2"/>
  <c r="CN30" i="2" s="1"/>
  <c r="CN29" i="2"/>
  <c r="CN140" i="2"/>
  <c r="CN184" i="2"/>
  <c r="CN229" i="2" s="1"/>
  <c r="CO94" i="2"/>
  <c r="CO96" i="2"/>
  <c r="CN142" i="2"/>
  <c r="BU180" i="2"/>
  <c r="BU22" i="2"/>
  <c r="CJ144" i="2"/>
  <c r="BU9" i="8"/>
  <c r="CD179" i="2"/>
  <c r="CD95" i="2"/>
  <c r="CD15" i="2"/>
  <c r="CD107" i="2"/>
  <c r="CD12" i="2"/>
  <c r="CD13" i="2" s="1"/>
  <c r="CI38" i="2"/>
  <c r="CI39" i="2"/>
  <c r="CI222" i="2"/>
  <c r="CO108" i="2"/>
  <c r="CN144" i="2"/>
  <c r="BU25" i="8"/>
  <c r="BU7" i="8"/>
  <c r="CY6" i="2" s="1"/>
  <c r="BP41" i="8"/>
  <c r="BP46" i="8" s="1"/>
  <c r="BP28" i="8"/>
  <c r="BP34" i="8"/>
  <c r="CV39" i="2"/>
  <c r="CV38" i="2"/>
  <c r="CV222" i="2"/>
  <c r="CV224" i="2" s="1"/>
  <c r="CQ21" i="2"/>
  <c r="CQ20" i="2"/>
  <c r="CR291" i="2"/>
  <c r="CV143" i="2"/>
  <c r="CW143" i="2"/>
  <c r="CV193" i="2"/>
  <c r="CV230" i="2" s="1"/>
  <c r="CV21" i="2"/>
  <c r="CV20" i="2"/>
  <c r="CV141" i="2"/>
  <c r="CW141" i="2"/>
  <c r="CV186" i="2"/>
  <c r="CV228" i="2" s="1"/>
  <c r="BU48" i="2" l="1"/>
  <c r="BU52" i="2" s="1"/>
  <c r="BY28" i="2"/>
  <c r="BY287" i="2"/>
  <c r="BY29" i="2"/>
  <c r="CD29" i="2"/>
  <c r="BX41" i="2"/>
  <c r="BX42" i="2" s="1"/>
  <c r="BW289" i="2"/>
  <c r="BW43" i="2"/>
  <c r="CW268" i="2"/>
  <c r="CV268" i="2"/>
  <c r="BY231" i="2"/>
  <c r="CV291" i="2"/>
  <c r="CD16" i="2"/>
  <c r="CD17" i="2" s="1"/>
  <c r="CD19" i="2"/>
  <c r="BY291" i="2"/>
  <c r="BT29" i="8"/>
  <c r="BT39" i="8"/>
  <c r="BT44" i="8" s="1"/>
  <c r="CX27" i="2"/>
  <c r="CT149" i="2"/>
  <c r="CS188" i="2"/>
  <c r="CS292" i="2"/>
  <c r="CS152" i="2"/>
  <c r="CE107" i="2"/>
  <c r="CD143" i="2"/>
  <c r="CD193" i="2"/>
  <c r="CD230" i="2" s="1"/>
  <c r="CO183" i="2"/>
  <c r="CP140" i="2"/>
  <c r="CO184" i="2"/>
  <c r="CO229" i="2" s="1"/>
  <c r="BZ185" i="2"/>
  <c r="BZ186" i="2"/>
  <c r="BZ228" i="2" s="1"/>
  <c r="CO15" i="2"/>
  <c r="CO16" i="2" s="1"/>
  <c r="CO17" i="2" s="1"/>
  <c r="CO179" i="2"/>
  <c r="CN11" i="2"/>
  <c r="BZ193" i="2"/>
  <c r="BZ230" i="2" s="1"/>
  <c r="BZ192" i="2"/>
  <c r="CS144" i="2"/>
  <c r="CT108" i="2"/>
  <c r="CI107" i="2"/>
  <c r="CI12" i="2"/>
  <c r="CI13" i="2" s="1"/>
  <c r="CI15" i="2"/>
  <c r="CI179" i="2"/>
  <c r="CI95" i="2"/>
  <c r="CO189" i="2"/>
  <c r="CO152" i="2"/>
  <c r="CO292" i="2"/>
  <c r="CO188" i="2"/>
  <c r="BY21" i="2"/>
  <c r="BY20" i="2"/>
  <c r="BY180" i="2" s="1"/>
  <c r="CP144" i="2"/>
  <c r="CO194" i="2"/>
  <c r="CD141" i="2"/>
  <c r="CE95" i="2"/>
  <c r="CF141" i="2" s="1"/>
  <c r="CD186" i="2"/>
  <c r="CD228" i="2" s="1"/>
  <c r="BU222" i="2"/>
  <c r="BU42" i="2"/>
  <c r="BU38" i="2"/>
  <c r="BU39" i="2"/>
  <c r="BU11" i="8"/>
  <c r="CS287" i="2"/>
  <c r="CS29" i="2"/>
  <c r="CS28" i="2"/>
  <c r="CS30" i="2" s="1"/>
  <c r="CS37" i="2"/>
  <c r="CO142" i="2"/>
  <c r="CS140" i="2"/>
  <c r="CS184" i="2"/>
  <c r="CS229" i="2" s="1"/>
  <c r="CT94" i="2"/>
  <c r="CS142" i="2"/>
  <c r="CT96" i="2"/>
  <c r="BP29" i="8"/>
  <c r="BP39" i="8"/>
  <c r="BP44" i="8" s="1"/>
  <c r="CP142" i="2"/>
  <c r="CO187" i="2"/>
  <c r="CN39" i="2"/>
  <c r="CN222" i="2"/>
  <c r="CN38" i="2"/>
  <c r="CO144" i="2"/>
  <c r="CY5" i="2"/>
  <c r="CX96" i="2"/>
  <c r="CX182" i="2"/>
  <c r="CX9" i="2"/>
  <c r="CX108" i="2"/>
  <c r="CX286" i="2"/>
  <c r="CX94" i="2"/>
  <c r="CX195" i="2"/>
  <c r="CX149" i="2"/>
  <c r="BU41" i="8"/>
  <c r="BU46" i="8" s="1"/>
  <c r="BU34" i="8"/>
  <c r="BU28" i="8"/>
  <c r="CO140" i="2"/>
  <c r="CT182" i="2"/>
  <c r="CT9" i="2"/>
  <c r="CT195" i="2"/>
  <c r="CT11" i="2"/>
  <c r="CT15" i="2" s="1"/>
  <c r="CT16" i="2" s="1"/>
  <c r="CT286" i="2"/>
  <c r="CQ22" i="2"/>
  <c r="CQ180" i="2"/>
  <c r="CW291" i="2"/>
  <c r="CV231" i="2"/>
  <c r="CV22" i="2"/>
  <c r="CV180" i="2"/>
  <c r="BY22" i="2" l="1"/>
  <c r="BY39" i="2"/>
  <c r="BY38" i="2"/>
  <c r="BY222" i="2"/>
  <c r="CD39" i="2"/>
  <c r="BY30" i="2"/>
  <c r="CD30" i="2"/>
  <c r="BX289" i="2"/>
  <c r="BX43" i="2"/>
  <c r="CT17" i="2"/>
  <c r="CE143" i="2"/>
  <c r="BZ231" i="2"/>
  <c r="CD231" i="2"/>
  <c r="CY195" i="2"/>
  <c r="CY11" i="2"/>
  <c r="CY286" i="2"/>
  <c r="CY182" i="2"/>
  <c r="CY9" i="2"/>
  <c r="CD291" i="2"/>
  <c r="CD268" i="2"/>
  <c r="CJ95" i="2"/>
  <c r="CI186" i="2"/>
  <c r="CI228" i="2" s="1"/>
  <c r="CI141" i="2"/>
  <c r="CJ141" i="2" s="1"/>
  <c r="CN95" i="2"/>
  <c r="CN107" i="2"/>
  <c r="CN12" i="2"/>
  <c r="CN13" i="2" s="1"/>
  <c r="CN15" i="2"/>
  <c r="CN179" i="2"/>
  <c r="CT142" i="2"/>
  <c r="CT183" i="2"/>
  <c r="CT184" i="2"/>
  <c r="CT229" i="2" s="1"/>
  <c r="CU140" i="2"/>
  <c r="CS38" i="2"/>
  <c r="CS222" i="2"/>
  <c r="CS39" i="2"/>
  <c r="CT189" i="2"/>
  <c r="CT188" i="2"/>
  <c r="CT292" i="2"/>
  <c r="CT152" i="2"/>
  <c r="CX29" i="2"/>
  <c r="CX28" i="2"/>
  <c r="CX30" i="2" s="1"/>
  <c r="CX37" i="2"/>
  <c r="CX287" i="2"/>
  <c r="BZ291" i="2"/>
  <c r="CY149" i="2"/>
  <c r="CX152" i="2"/>
  <c r="CX188" i="2"/>
  <c r="CX292" i="2"/>
  <c r="CY96" i="2"/>
  <c r="CY187" i="2" s="1"/>
  <c r="CX142" i="2"/>
  <c r="BU289" i="2"/>
  <c r="BU43" i="2"/>
  <c r="CT144" i="2"/>
  <c r="CI19" i="2"/>
  <c r="CI16" i="2"/>
  <c r="CI17" i="2" s="1"/>
  <c r="CE141" i="2"/>
  <c r="CA291" i="2"/>
  <c r="CA268" i="2"/>
  <c r="CS11" i="2"/>
  <c r="CT179" i="2"/>
  <c r="CY94" i="2"/>
  <c r="CX140" i="2"/>
  <c r="CX184" i="2"/>
  <c r="CX229" i="2" s="1"/>
  <c r="CI143" i="2"/>
  <c r="CJ107" i="2"/>
  <c r="CI193" i="2"/>
  <c r="CI230" i="2" s="1"/>
  <c r="BU29" i="8"/>
  <c r="BU39" i="8"/>
  <c r="BU44" i="8" s="1"/>
  <c r="CY108" i="2"/>
  <c r="CY194" i="2" s="1"/>
  <c r="CX144" i="2"/>
  <c r="BX191" i="2"/>
  <c r="CT187" i="2"/>
  <c r="CU142" i="2"/>
  <c r="CE186" i="2"/>
  <c r="CE228" i="2" s="1"/>
  <c r="CE185" i="2"/>
  <c r="BZ21" i="2"/>
  <c r="BZ20" i="2"/>
  <c r="BZ22" i="2" s="1"/>
  <c r="CU144" i="2"/>
  <c r="CT194" i="2"/>
  <c r="CT140" i="2"/>
  <c r="CE193" i="2"/>
  <c r="CE230" i="2" s="1"/>
  <c r="CE192" i="2"/>
  <c r="CF143" i="2"/>
  <c r="CD21" i="2"/>
  <c r="CD20" i="2"/>
  <c r="CE19" i="2"/>
  <c r="CJ143" i="2" l="1"/>
  <c r="CI231" i="2"/>
  <c r="CE231" i="2"/>
  <c r="CS179" i="2"/>
  <c r="CS107" i="2"/>
  <c r="CS12" i="2"/>
  <c r="CS13" i="2" s="1"/>
  <c r="CS15" i="2"/>
  <c r="CS95" i="2"/>
  <c r="CE268" i="2"/>
  <c r="CE291" i="2"/>
  <c r="CY142" i="2"/>
  <c r="CX39" i="2"/>
  <c r="CX222" i="2"/>
  <c r="CX38" i="2"/>
  <c r="CN143" i="2"/>
  <c r="CN193" i="2"/>
  <c r="CN230" i="2" s="1"/>
  <c r="CO107" i="2"/>
  <c r="CJ185" i="2"/>
  <c r="CK141" i="2"/>
  <c r="CJ186" i="2"/>
  <c r="CJ228" i="2" s="1"/>
  <c r="CY15" i="2"/>
  <c r="CY16" i="2" s="1"/>
  <c r="CY17" i="2" s="1"/>
  <c r="CX11" i="2"/>
  <c r="CY179" i="2"/>
  <c r="CE27" i="2"/>
  <c r="CE20" i="2"/>
  <c r="CE21" i="2"/>
  <c r="BZ28" i="2"/>
  <c r="BZ30" i="2" s="1"/>
  <c r="BZ29" i="2"/>
  <c r="BZ287" i="2"/>
  <c r="CF291" i="2"/>
  <c r="CF268" i="2"/>
  <c r="CJ193" i="2"/>
  <c r="CJ230" i="2" s="1"/>
  <c r="CK143" i="2"/>
  <c r="CJ192" i="2"/>
  <c r="CY184" i="2"/>
  <c r="CY229" i="2" s="1"/>
  <c r="CY183" i="2"/>
  <c r="CI21" i="2"/>
  <c r="CI20" i="2"/>
  <c r="CJ19" i="2"/>
  <c r="CY152" i="2"/>
  <c r="CY189" i="2"/>
  <c r="CY292" i="2"/>
  <c r="CY188" i="2"/>
  <c r="CN141" i="2"/>
  <c r="CO95" i="2"/>
  <c r="CN186" i="2"/>
  <c r="CN228" i="2" s="1"/>
  <c r="BZ180" i="2"/>
  <c r="CD22" i="2"/>
  <c r="CD180" i="2"/>
  <c r="CY144" i="2"/>
  <c r="BY41" i="2"/>
  <c r="CY140" i="2"/>
  <c r="CN16" i="2"/>
  <c r="CN17" i="2" s="1"/>
  <c r="CN19" i="2"/>
  <c r="CI291" i="2"/>
  <c r="CI268" i="2"/>
  <c r="BZ99" i="2" l="1"/>
  <c r="BY42" i="2"/>
  <c r="CN231" i="2"/>
  <c r="CO143" i="2"/>
  <c r="CO141" i="2"/>
  <c r="CN291" i="2"/>
  <c r="CN268" i="2"/>
  <c r="CJ21" i="2"/>
  <c r="CJ27" i="2"/>
  <c r="CJ20" i="2"/>
  <c r="CE180" i="2"/>
  <c r="CE22" i="2"/>
  <c r="CX107" i="2"/>
  <c r="CX179" i="2"/>
  <c r="CX12" i="2"/>
  <c r="CX13" i="2" s="1"/>
  <c r="CX15" i="2"/>
  <c r="CX95" i="2"/>
  <c r="CS186" i="2"/>
  <c r="CS228" i="2" s="1"/>
  <c r="CT95" i="2"/>
  <c r="CS141" i="2"/>
  <c r="CI22" i="2"/>
  <c r="CI180" i="2"/>
  <c r="CJ268" i="2"/>
  <c r="CJ291" i="2"/>
  <c r="BZ222" i="2"/>
  <c r="BZ39" i="2"/>
  <c r="BZ38" i="2"/>
  <c r="CE37" i="2"/>
  <c r="CE29" i="2"/>
  <c r="CE287" i="2"/>
  <c r="CE28" i="2"/>
  <c r="CO193" i="2"/>
  <c r="CO230" i="2" s="1"/>
  <c r="CP143" i="2"/>
  <c r="CO192" i="2"/>
  <c r="CS16" i="2"/>
  <c r="CS17" i="2" s="1"/>
  <c r="CS19" i="2"/>
  <c r="CJ231" i="2"/>
  <c r="CO19" i="2"/>
  <c r="CN20" i="2"/>
  <c r="CN21" i="2"/>
  <c r="BZ41" i="2"/>
  <c r="CO185" i="2"/>
  <c r="CO186" i="2"/>
  <c r="CO228" i="2" s="1"/>
  <c r="CP141" i="2"/>
  <c r="CK268" i="2"/>
  <c r="CK291" i="2"/>
  <c r="CS143" i="2"/>
  <c r="CS193" i="2"/>
  <c r="CS230" i="2" s="1"/>
  <c r="CT107" i="2"/>
  <c r="CA134" i="2" l="1"/>
  <c r="CA41" i="2" s="1"/>
  <c r="CA42" i="2" s="1"/>
  <c r="CA43" i="2" s="1"/>
  <c r="BZ191" i="2"/>
  <c r="BY43" i="2"/>
  <c r="BZ190" i="2"/>
  <c r="CE30" i="2"/>
  <c r="BY289" i="2"/>
  <c r="BZ42" i="2"/>
  <c r="CO231" i="2"/>
  <c r="CT143" i="2"/>
  <c r="CT141" i="2"/>
  <c r="CP291" i="2"/>
  <c r="CP268" i="2"/>
  <c r="CO21" i="2"/>
  <c r="CO27" i="2"/>
  <c r="CO20" i="2"/>
  <c r="CS231" i="2"/>
  <c r="CJ22" i="2"/>
  <c r="CJ180" i="2"/>
  <c r="CS291" i="2"/>
  <c r="CS268" i="2"/>
  <c r="CT193" i="2"/>
  <c r="CT230" i="2" s="1"/>
  <c r="CT192" i="2"/>
  <c r="CU143" i="2"/>
  <c r="CX186" i="2"/>
  <c r="CX228" i="2" s="1"/>
  <c r="CX141" i="2"/>
  <c r="CY95" i="2"/>
  <c r="CY107" i="2"/>
  <c r="CX193" i="2"/>
  <c r="CX230" i="2" s="1"/>
  <c r="CX143" i="2"/>
  <c r="CJ287" i="2"/>
  <c r="CJ28" i="2"/>
  <c r="CJ30" i="2" s="1"/>
  <c r="CJ29" i="2"/>
  <c r="CJ37" i="2"/>
  <c r="CO291" i="2"/>
  <c r="CO268" i="2"/>
  <c r="CX19" i="2"/>
  <c r="CX16" i="2"/>
  <c r="CX17" i="2" s="1"/>
  <c r="CN22" i="2"/>
  <c r="CN180" i="2"/>
  <c r="CT19" i="2"/>
  <c r="CS21" i="2"/>
  <c r="CS20" i="2"/>
  <c r="CE38" i="2"/>
  <c r="CE39" i="2"/>
  <c r="CE222" i="2"/>
  <c r="CE224" i="2" s="1"/>
  <c r="CT186" i="2"/>
  <c r="CT228" i="2" s="1"/>
  <c r="CT185" i="2"/>
  <c r="CU141" i="2"/>
  <c r="CA99" i="2" l="1"/>
  <c r="CA289" i="2"/>
  <c r="BZ43" i="2"/>
  <c r="BZ289" i="2"/>
  <c r="CB134" i="2"/>
  <c r="CB99" i="2" s="1"/>
  <c r="CA191" i="2"/>
  <c r="CT231" i="2"/>
  <c r="CX21" i="2"/>
  <c r="CX20" i="2"/>
  <c r="CY19" i="2"/>
  <c r="CS22" i="2"/>
  <c r="CS180" i="2"/>
  <c r="CY192" i="2"/>
  <c r="CY193" i="2"/>
  <c r="CY230" i="2" s="1"/>
  <c r="CX291" i="2"/>
  <c r="CX268" i="2"/>
  <c r="CO22" i="2"/>
  <c r="CO180" i="2"/>
  <c r="CY186" i="2"/>
  <c r="CY228" i="2" s="1"/>
  <c r="CY185" i="2"/>
  <c r="CT21" i="2"/>
  <c r="CT27" i="2"/>
  <c r="CT20" i="2"/>
  <c r="CJ38" i="2"/>
  <c r="CJ39" i="2"/>
  <c r="CJ222" i="2"/>
  <c r="CJ224" i="2" s="1"/>
  <c r="CY143" i="2"/>
  <c r="CU268" i="2"/>
  <c r="CY141" i="2"/>
  <c r="CU291" i="2"/>
  <c r="CX231" i="2"/>
  <c r="CO37" i="2"/>
  <c r="CO287" i="2"/>
  <c r="CO28" i="2"/>
  <c r="CO30" i="2" s="1"/>
  <c r="CO29" i="2"/>
  <c r="CT291" i="2"/>
  <c r="CT268" i="2"/>
  <c r="CC134" i="2" l="1"/>
  <c r="CC41" i="2" s="1"/>
  <c r="CB41" i="2"/>
  <c r="CB191" i="2"/>
  <c r="CY231" i="2"/>
  <c r="CT180" i="2"/>
  <c r="CT22" i="2"/>
  <c r="CY268" i="2"/>
  <c r="CY291" i="2"/>
  <c r="CT287" i="2"/>
  <c r="CT29" i="2"/>
  <c r="CT37" i="2"/>
  <c r="CT28" i="2"/>
  <c r="CT30" i="2" s="1"/>
  <c r="CY27" i="2"/>
  <c r="CY20" i="2"/>
  <c r="CY21" i="2"/>
  <c r="CO222" i="2"/>
  <c r="CO224" i="2" s="1"/>
  <c r="CO38" i="2"/>
  <c r="CO39" i="2"/>
  <c r="CX22" i="2"/>
  <c r="CX180" i="2"/>
  <c r="CB42" i="2" l="1"/>
  <c r="CB43" i="2" s="1"/>
  <c r="CC42" i="2"/>
  <c r="CC99" i="2"/>
  <c r="CY180" i="2"/>
  <c r="CY22" i="2"/>
  <c r="CY37" i="2"/>
  <c r="CY287" i="2"/>
  <c r="CY28" i="2"/>
  <c r="CY30" i="2" s="1"/>
  <c r="CY29" i="2"/>
  <c r="CT39" i="2"/>
  <c r="CT38" i="2"/>
  <c r="CT222" i="2"/>
  <c r="CT224" i="2" s="1"/>
  <c r="CB289" i="2" l="1"/>
  <c r="CC43" i="2"/>
  <c r="CC289" i="2"/>
  <c r="CC191" i="2"/>
  <c r="CD134" i="2"/>
  <c r="CY38" i="2"/>
  <c r="CY39" i="2"/>
  <c r="CY222" i="2"/>
  <c r="CY224" i="2" s="1"/>
  <c r="CD99" i="2" l="1"/>
  <c r="CD41" i="2"/>
  <c r="CE134" i="2"/>
  <c r="CD42" i="2" l="1"/>
  <c r="CE41" i="2"/>
  <c r="CD191" i="2"/>
  <c r="CE99" i="2"/>
  <c r="CD43" i="2" l="1"/>
  <c r="CE190" i="2"/>
  <c r="CF134" i="2"/>
  <c r="CF99" i="2" s="1"/>
  <c r="CG134" i="2" s="1"/>
  <c r="CD289" i="2"/>
  <c r="CE42" i="2"/>
  <c r="CE191" i="2"/>
  <c r="CE43" i="2" l="1"/>
  <c r="CE289" i="2"/>
  <c r="CG99" i="2"/>
  <c r="CH134" i="2" s="1"/>
  <c r="CG41" i="2"/>
  <c r="CF41" i="2"/>
  <c r="CF191" i="2"/>
  <c r="CF42" i="2" l="1"/>
  <c r="CG42" i="2"/>
  <c r="CG191" i="2"/>
  <c r="CH99" i="2"/>
  <c r="CH41" i="2"/>
  <c r="CG43" i="2" l="1"/>
  <c r="CG289" i="2"/>
  <c r="CH42" i="2"/>
  <c r="CF289" i="2"/>
  <c r="CF43" i="2"/>
  <c r="CI134" i="2"/>
  <c r="CI99" i="2" s="1"/>
  <c r="CH191" i="2"/>
  <c r="CH289" i="2" l="1"/>
  <c r="CH43" i="2"/>
  <c r="CI191" i="2"/>
  <c r="CJ99" i="2"/>
  <c r="CK134" i="2" s="1"/>
  <c r="CK99" i="2" s="1"/>
  <c r="CL134" i="2" s="1"/>
  <c r="CJ134" i="2"/>
  <c r="CI41" i="2"/>
  <c r="CI42" i="2" l="1"/>
  <c r="CK191" i="2"/>
  <c r="CJ41" i="2"/>
  <c r="CJ191" i="2"/>
  <c r="CJ190" i="2"/>
  <c r="CK41" i="2"/>
  <c r="CL99" i="2"/>
  <c r="CL191" i="2" s="1"/>
  <c r="CL41" i="2"/>
  <c r="CI289" i="2" l="1"/>
  <c r="CI43" i="2"/>
  <c r="CL42" i="2"/>
  <c r="CL43" i="2" s="1"/>
  <c r="CJ42" i="2"/>
  <c r="CK42" i="2"/>
  <c r="CK289" i="2" s="1"/>
  <c r="CM134" i="2"/>
  <c r="CM99" i="2" s="1"/>
  <c r="CJ43" i="2" l="1"/>
  <c r="CL289" i="2"/>
  <c r="CJ289" i="2"/>
  <c r="CK43" i="2"/>
  <c r="CN134" i="2"/>
  <c r="CM41" i="2"/>
  <c r="CM191" i="2"/>
  <c r="CM42" i="2" l="1"/>
  <c r="CM43" i="2" s="1"/>
  <c r="CN99" i="2"/>
  <c r="CN191" i="2" s="1"/>
  <c r="CO134" i="2"/>
  <c r="CN41" i="2"/>
  <c r="CM289" i="2" l="1"/>
  <c r="CN42" i="2"/>
  <c r="CN43" i="2" s="1"/>
  <c r="CO41" i="2"/>
  <c r="CO99" i="2"/>
  <c r="CO191" i="2" s="1"/>
  <c r="CN289" i="2" l="1"/>
  <c r="CO42" i="2"/>
  <c r="CO289" i="2" s="1"/>
  <c r="CP134" i="2"/>
  <c r="CP99" i="2" s="1"/>
  <c r="CQ134" i="2" s="1"/>
  <c r="CQ99" i="2" s="1"/>
  <c r="CO190" i="2"/>
  <c r="CO43" i="2" l="1"/>
  <c r="CP191" i="2"/>
  <c r="CP41" i="2"/>
  <c r="CQ41" i="2"/>
  <c r="CQ191" i="2"/>
  <c r="CR134" i="2"/>
  <c r="CR99" i="2" s="1"/>
  <c r="CP42" i="2" l="1"/>
  <c r="CP289" i="2" s="1"/>
  <c r="CQ42" i="2"/>
  <c r="CS134" i="2"/>
  <c r="CS99" i="2" s="1"/>
  <c r="CR41" i="2"/>
  <c r="CR191" i="2"/>
  <c r="CR42" i="2" l="1"/>
  <c r="CR43" i="2" s="1"/>
  <c r="CQ289" i="2"/>
  <c r="CQ43" i="2"/>
  <c r="CP43" i="2"/>
  <c r="CT134" i="2"/>
  <c r="CT41" i="2" s="1"/>
  <c r="CS41" i="2"/>
  <c r="CS191" i="2"/>
  <c r="CT99" i="2"/>
  <c r="CR289" i="2" l="1"/>
  <c r="CT42" i="2"/>
  <c r="CT43" i="2" s="1"/>
  <c r="CS42" i="2"/>
  <c r="CS43" i="2" s="1"/>
  <c r="CT191" i="2"/>
  <c r="CT190" i="2"/>
  <c r="CU134" i="2"/>
  <c r="CU99" i="2" s="1"/>
  <c r="CT289" i="2" l="1"/>
  <c r="CS289" i="2"/>
  <c r="CV134" i="2"/>
  <c r="CV99" i="2" s="1"/>
  <c r="CU41" i="2"/>
  <c r="CU191" i="2"/>
  <c r="CU42" i="2" l="1"/>
  <c r="CU289" i="2" s="1"/>
  <c r="CW134" i="2"/>
  <c r="CW99" i="2" s="1"/>
  <c r="CV41" i="2"/>
  <c r="CV42" i="2" s="1"/>
  <c r="CV191" i="2"/>
  <c r="CU43" i="2" l="1"/>
  <c r="CV43" i="2"/>
  <c r="CV289" i="2"/>
  <c r="CW41" i="2"/>
  <c r="CW42" i="2" s="1"/>
  <c r="CW191" i="2"/>
  <c r="CX134" i="2"/>
  <c r="CX99" i="2" l="1"/>
  <c r="CY99" i="2" s="1"/>
  <c r="CX41" i="2"/>
  <c r="CX42" i="2" s="1"/>
  <c r="CY134" i="2"/>
  <c r="CW43" i="2"/>
  <c r="CW289" i="2"/>
  <c r="CX191" i="2" l="1"/>
  <c r="CY41" i="2"/>
  <c r="CY42" i="2" s="1"/>
  <c r="CY190" i="2"/>
  <c r="CY191" i="2"/>
  <c r="CX43" i="2"/>
  <c r="CX289" i="2"/>
  <c r="CY43" i="2" l="1"/>
  <c r="CY289" i="2"/>
  <c r="BT52" i="2" l="1"/>
  <c r="BU49" i="2"/>
  <c r="BT63" i="2" l="1"/>
  <c r="BU58" i="2"/>
  <c r="BU60" i="2" s="1"/>
  <c r="BU197" i="2" s="1"/>
  <c r="BT268" i="2" l="1"/>
  <c r="BU223" i="2"/>
  <c r="BU224" i="2" s="1"/>
  <c r="BU181" i="2"/>
  <c r="BU132" i="2"/>
  <c r="BU138" i="2" s="1"/>
  <c r="BU112" i="2"/>
  <c r="BT66" i="2"/>
  <c r="BU63" i="2"/>
  <c r="BT290" i="2"/>
  <c r="BT181" i="2"/>
  <c r="BT223" i="2"/>
  <c r="BT224" i="2" s="1"/>
  <c r="BT60" i="2"/>
  <c r="BT73" i="2"/>
  <c r="BT54" i="2" s="1"/>
  <c r="BT120" i="2"/>
  <c r="BT119" i="2" s="1"/>
  <c r="BT124" i="2" s="1"/>
  <c r="AQ47" i="8" l="1"/>
  <c r="BU119" i="2"/>
  <c r="BU66" i="2"/>
  <c r="BU64" i="2"/>
  <c r="BU61" i="2"/>
  <c r="BV72" i="2"/>
  <c r="BU120" i="2"/>
  <c r="BT92" i="2"/>
  <c r="BT211" i="2" s="1"/>
  <c r="BT75" i="2"/>
  <c r="BT61" i="2"/>
  <c r="BT212" i="2" l="1"/>
  <c r="BT109" i="2"/>
  <c r="BT170" i="2"/>
  <c r="BT216" i="2"/>
  <c r="BU124" i="2"/>
  <c r="BU92" i="2"/>
  <c r="BU105" i="2"/>
  <c r="BU210" i="2" s="1"/>
  <c r="BV213" i="2" s="1"/>
  <c r="BT97" i="2"/>
  <c r="BT102" i="2" l="1"/>
  <c r="BT171" i="2"/>
  <c r="BU109" i="2"/>
  <c r="BU114" i="2" s="1"/>
  <c r="BU126" i="2" s="1"/>
  <c r="BT114" i="2"/>
  <c r="BU97" i="2"/>
  <c r="BU102" i="2" s="1"/>
  <c r="BU211" i="2"/>
  <c r="BU212" i="2" s="1"/>
  <c r="BZ295" i="2"/>
  <c r="BU128" i="2" l="1"/>
  <c r="BV175" i="2"/>
  <c r="BU213" i="2"/>
  <c r="BU218" i="2"/>
  <c r="BU293" i="2"/>
  <c r="BU219" i="2"/>
  <c r="BT173" i="2"/>
  <c r="BT176" i="2"/>
  <c r="BT172" i="2"/>
  <c r="BT126" i="2"/>
  <c r="BT293" i="2"/>
  <c r="BT219" i="2"/>
  <c r="BW175" i="2" l="1"/>
  <c r="BT218" i="2"/>
  <c r="BT128" i="2"/>
  <c r="BT225" i="2"/>
  <c r="BU225" i="2"/>
  <c r="BT174" i="2"/>
  <c r="BX175" i="2" l="1"/>
  <c r="BU170" i="2" l="1"/>
  <c r="BU171" i="2" s="1"/>
  <c r="BU173" i="2" s="1"/>
  <c r="BU174" i="2" s="1"/>
  <c r="BU216" i="2"/>
  <c r="BU290" i="2" l="1"/>
  <c r="BU268" i="2"/>
  <c r="BU176" i="2"/>
  <c r="BU172" i="2"/>
  <c r="BV181" i="2" l="1"/>
  <c r="BV66" i="2"/>
  <c r="BV223" i="2" l="1"/>
  <c r="BV224" i="2" s="1"/>
  <c r="BV73" i="2" l="1"/>
  <c r="BV54" i="2" s="1"/>
  <c r="BV75" i="2" l="1"/>
  <c r="BV211" i="2"/>
  <c r="BV61" i="2"/>
  <c r="BV109" i="2" l="1"/>
  <c r="BV212" i="2"/>
  <c r="BV102" i="2"/>
  <c r="BV218" i="2" l="1"/>
  <c r="BV114" i="2"/>
  <c r="BV293" i="2"/>
  <c r="BV161" i="2"/>
  <c r="BV165" i="2" l="1"/>
  <c r="BV170" i="2"/>
  <c r="BV216" i="2"/>
  <c r="BV268" i="2"/>
  <c r="BV171" i="2" l="1"/>
  <c r="BV120" i="2"/>
  <c r="BV290" i="2"/>
  <c r="BV119" i="2" l="1"/>
  <c r="BV173" i="2"/>
  <c r="BV172" i="2"/>
  <c r="BV176" i="2"/>
  <c r="BV174" i="2" l="1"/>
  <c r="BV124" i="2"/>
  <c r="BV219" i="2" l="1"/>
  <c r="BV126" i="2"/>
  <c r="BV225" i="2" l="1"/>
  <c r="BV128" i="2"/>
  <c r="BP72" i="2" l="1"/>
  <c r="BP73" i="2" s="1"/>
  <c r="BP54" i="2" s="1"/>
  <c r="BU72" i="2"/>
  <c r="BU73" i="2" s="1"/>
  <c r="BP75" i="2" l="1"/>
  <c r="BU54" i="2"/>
  <c r="BU75" i="2"/>
  <c r="BW223" i="2" l="1"/>
  <c r="BW224" i="2" s="1"/>
  <c r="BW66" i="2"/>
  <c r="BW181" i="2" l="1"/>
  <c r="BW268" i="2" l="1"/>
  <c r="BW73" i="2"/>
  <c r="BW54" i="2" s="1"/>
  <c r="BW120" i="2"/>
  <c r="BW119" i="2" s="1"/>
  <c r="BW290" i="2" l="1"/>
  <c r="BW75" i="2"/>
  <c r="BW124" i="2"/>
  <c r="BW61" i="2"/>
  <c r="BW211" i="2" l="1"/>
  <c r="BW212" i="2" s="1"/>
  <c r="BW218" i="2" s="1"/>
  <c r="BW97" i="2"/>
  <c r="BW109" i="2"/>
  <c r="BW170" i="2"/>
  <c r="BW219" i="2" l="1"/>
  <c r="BW225" i="2" s="1"/>
  <c r="BW114" i="2"/>
  <c r="BW171" i="2"/>
  <c r="BW102" i="2"/>
  <c r="BW293" i="2" l="1"/>
  <c r="BW172" i="2"/>
  <c r="BW176" i="2"/>
  <c r="BW173" i="2"/>
  <c r="BW165" i="2"/>
  <c r="BW126" i="2"/>
  <c r="BW128" i="2" l="1"/>
  <c r="BW174" i="2"/>
  <c r="BX66" i="2" l="1"/>
  <c r="BX181" i="2" l="1"/>
  <c r="BX223" i="2"/>
  <c r="BX224" i="2" s="1"/>
  <c r="BX72" i="2" l="1"/>
  <c r="BX73" i="2" s="1"/>
  <c r="BX54" i="2" s="1"/>
  <c r="BX61" i="2"/>
  <c r="BX75" i="2" l="1"/>
  <c r="BX97" i="2" l="1"/>
  <c r="BX211" i="2"/>
  <c r="BX102" i="2" l="1"/>
  <c r="BX109" i="2"/>
  <c r="BX114" i="2" s="1"/>
  <c r="BX210" i="2"/>
  <c r="BX213" i="2" s="1"/>
  <c r="BX212" i="2" l="1"/>
  <c r="BX293" i="2" s="1"/>
  <c r="BX170" i="2"/>
  <c r="BX171" i="2" s="1"/>
  <c r="BX172" i="2" s="1"/>
  <c r="BX218" i="2" l="1"/>
  <c r="BX268" i="2"/>
  <c r="BX290" i="2"/>
  <c r="BX176" i="2"/>
  <c r="BX173" i="2"/>
  <c r="BX174" i="2" s="1"/>
  <c r="BX120" i="2"/>
  <c r="BX216" i="2" l="1"/>
  <c r="BX165" i="2" l="1"/>
  <c r="BX204" i="2"/>
  <c r="BX206" i="2" s="1"/>
  <c r="BX208" i="2" l="1"/>
  <c r="BX121" i="2" s="1"/>
  <c r="BX119" i="2" l="1"/>
  <c r="CH82" i="2"/>
  <c r="CC204" i="2"/>
  <c r="CC206" i="2" s="1"/>
  <c r="BZ175" i="2" l="1"/>
  <c r="BY175" i="2"/>
  <c r="BX124" i="2"/>
  <c r="BX126" i="2" s="1"/>
  <c r="CC208" i="2"/>
  <c r="CM82" i="2"/>
  <c r="CH204" i="2"/>
  <c r="CH206" i="2" s="1"/>
  <c r="BY294" i="2" l="1"/>
  <c r="BX219" i="2"/>
  <c r="BX225" i="2" s="1"/>
  <c r="CH208" i="2"/>
  <c r="CH157" i="2" s="1"/>
  <c r="BX128" i="2"/>
  <c r="CR82" i="2"/>
  <c r="CM204" i="2"/>
  <c r="CM206" i="2" s="1"/>
  <c r="CC157" i="2"/>
  <c r="BZ294" i="2" l="1"/>
  <c r="CM208" i="2"/>
  <c r="CM157" i="2" s="1"/>
  <c r="CW82" i="2"/>
  <c r="CR204" i="2"/>
  <c r="CR206" i="2" s="1"/>
  <c r="CW204" i="2" l="1"/>
  <c r="CW206" i="2" s="1"/>
  <c r="CR208" i="2"/>
  <c r="CR157" i="2" s="1"/>
  <c r="CW208" i="2" l="1"/>
  <c r="CW157" i="2" s="1"/>
  <c r="BZ72" i="2" l="1"/>
  <c r="CA72" i="2"/>
  <c r="CO72" i="2"/>
  <c r="CT72" i="2"/>
  <c r="CY72" i="2"/>
  <c r="BY72" i="2" l="1"/>
  <c r="BY66" i="2"/>
  <c r="BZ64" i="2" l="1"/>
  <c r="BZ66" i="2"/>
  <c r="BZ112" i="2" l="1"/>
  <c r="BY73" i="2"/>
  <c r="BY223" i="2"/>
  <c r="BY224" i="2" s="1"/>
  <c r="BY54" i="2" l="1"/>
  <c r="BY75" i="2"/>
  <c r="BY210" i="2" l="1"/>
  <c r="BY213" i="2" s="1"/>
  <c r="BY61" i="2"/>
  <c r="BZ109" i="2" l="1"/>
  <c r="BZ114" i="2" s="1"/>
  <c r="BY114" i="2" l="1"/>
  <c r="CB72" i="2" l="1"/>
  <c r="BZ170" i="2" l="1"/>
  <c r="BZ171" i="2" s="1"/>
  <c r="BZ173" i="2" s="1"/>
  <c r="BZ174" i="2" s="1"/>
  <c r="BZ176" i="2" l="1"/>
  <c r="BY120" i="2"/>
  <c r="BZ120" i="2" s="1"/>
  <c r="BY172" i="2"/>
  <c r="BY173" i="2"/>
  <c r="BY174" i="2" s="1"/>
  <c r="BY176" i="2"/>
  <c r="BY268" i="2"/>
  <c r="BY290" i="2"/>
  <c r="BZ181" i="2" l="1"/>
  <c r="BZ132" i="2"/>
  <c r="BZ172" i="2"/>
  <c r="BZ138" i="2" l="1"/>
  <c r="BZ223" i="2"/>
  <c r="BZ224" i="2" s="1"/>
  <c r="BZ60" i="2"/>
  <c r="BZ73" i="2"/>
  <c r="BZ197" i="2" l="1"/>
  <c r="BZ290" i="2"/>
  <c r="BZ268" i="2"/>
  <c r="BZ54" i="2"/>
  <c r="BZ75" i="2"/>
  <c r="BZ61" i="2"/>
  <c r="CB196" i="2" l="1"/>
  <c r="CB197" i="2" l="1"/>
  <c r="CC196" i="2"/>
  <c r="CC197" i="2" s="1"/>
  <c r="CD196" i="2" l="1"/>
  <c r="CD197" i="2" s="1"/>
  <c r="CE196" i="2" l="1"/>
  <c r="BY158" i="2"/>
  <c r="BZ161" i="2"/>
  <c r="BZ82" i="2"/>
  <c r="CD82" i="2"/>
  <c r="CE82" i="2" s="1"/>
  <c r="BZ84" i="2"/>
  <c r="CA81" i="2" s="1"/>
  <c r="CA84" i="2" s="1"/>
  <c r="CA85" i="2" s="1"/>
  <c r="BY204" i="2"/>
  <c r="BY206" i="2" s="1"/>
  <c r="BZ204" i="2"/>
  <c r="BZ206" i="2" l="1"/>
  <c r="BZ208" i="2" s="1"/>
  <c r="BY208" i="2"/>
  <c r="BY121" i="2" s="1"/>
  <c r="CD204" i="2"/>
  <c r="CD206" i="2" s="1"/>
  <c r="CE206" i="2" s="1"/>
  <c r="CE208" i="2" s="1"/>
  <c r="CI82" i="2"/>
  <c r="CI204" i="2" s="1"/>
  <c r="CI206" i="2" s="1"/>
  <c r="CE81" i="2"/>
  <c r="CE204" i="2"/>
  <c r="CA87" i="2"/>
  <c r="CA78" i="2" s="1"/>
  <c r="CA77" i="2"/>
  <c r="BY161" i="2"/>
  <c r="BY119" i="2"/>
  <c r="BZ121" i="2"/>
  <c r="CA121" i="2" s="1"/>
  <c r="CB121" i="2" s="1"/>
  <c r="CC121" i="2" s="1"/>
  <c r="CB81" i="2"/>
  <c r="CD208" i="2" l="1"/>
  <c r="CD157" i="2" s="1"/>
  <c r="CE157" i="2" s="1"/>
  <c r="CJ82" i="2"/>
  <c r="CJ204" i="2" s="1"/>
  <c r="CN82" i="2"/>
  <c r="CN204" i="2" s="1"/>
  <c r="CN206" i="2" s="1"/>
  <c r="CJ206" i="2"/>
  <c r="CJ208" i="2" s="1"/>
  <c r="CI208" i="2"/>
  <c r="CI157" i="2" s="1"/>
  <c r="CJ157" i="2" s="1"/>
  <c r="CD121" i="2"/>
  <c r="CE121" i="2" s="1"/>
  <c r="CF121" i="2" s="1"/>
  <c r="CG121" i="2" s="1"/>
  <c r="CH121" i="2" s="1"/>
  <c r="CI121" i="2" s="1"/>
  <c r="CJ121" i="2" s="1"/>
  <c r="CK121" i="2" s="1"/>
  <c r="CL121" i="2" s="1"/>
  <c r="CM121" i="2" s="1"/>
  <c r="CB84" i="2"/>
  <c r="CC81" i="2" s="1"/>
  <c r="BY92" i="2"/>
  <c r="BZ119" i="2"/>
  <c r="BY124" i="2"/>
  <c r="CO82" i="2"/>
  <c r="CO204" i="2" s="1"/>
  <c r="CS82" i="2"/>
  <c r="CB85" i="2" l="1"/>
  <c r="CB77" i="2" s="1"/>
  <c r="CB160" i="2" s="1"/>
  <c r="CB175" i="2" s="1"/>
  <c r="CO206" i="2"/>
  <c r="CO208" i="2" s="1"/>
  <c r="CN208" i="2"/>
  <c r="BY97" i="2"/>
  <c r="BY211" i="2"/>
  <c r="BY212" i="2" s="1"/>
  <c r="CA160" i="2"/>
  <c r="CX82" i="2"/>
  <c r="CT82" i="2"/>
  <c r="CT204" i="2" s="1"/>
  <c r="CS204" i="2"/>
  <c r="CS206" i="2" s="1"/>
  <c r="BY126" i="2"/>
  <c r="CC84" i="2"/>
  <c r="CD81" i="2" s="1"/>
  <c r="BZ92" i="2"/>
  <c r="CA119" i="2"/>
  <c r="BZ124" i="2"/>
  <c r="BZ105" i="2"/>
  <c r="BZ210" i="2" s="1"/>
  <c r="CA294" i="2"/>
  <c r="BY293" i="2" l="1"/>
  <c r="CB87" i="2"/>
  <c r="CB78" i="2" s="1"/>
  <c r="CB294" i="2" s="1"/>
  <c r="BY219" i="2"/>
  <c r="CD84" i="2"/>
  <c r="CE84" i="2" s="1"/>
  <c r="CA175" i="2"/>
  <c r="BZ126" i="2"/>
  <c r="CC85" i="2"/>
  <c r="CT206" i="2"/>
  <c r="CT208" i="2" s="1"/>
  <c r="CS208" i="2"/>
  <c r="CS157" i="2" s="1"/>
  <c r="CT157" i="2" s="1"/>
  <c r="CB119" i="2"/>
  <c r="BY225" i="2"/>
  <c r="BZ97" i="2"/>
  <c r="BZ102" i="2" s="1"/>
  <c r="CE295" i="2"/>
  <c r="BZ211" i="2"/>
  <c r="BZ212" i="2" s="1"/>
  <c r="CY82" i="2"/>
  <c r="CY204" i="2" s="1"/>
  <c r="CX204" i="2"/>
  <c r="CX206" i="2" s="1"/>
  <c r="BY102" i="2"/>
  <c r="CN157" i="2"/>
  <c r="CO157" i="2" s="1"/>
  <c r="CN121" i="2"/>
  <c r="CO121" i="2" s="1"/>
  <c r="CP121" i="2" s="1"/>
  <c r="CQ121" i="2" s="1"/>
  <c r="CR121" i="2" s="1"/>
  <c r="CD85" i="2" l="1"/>
  <c r="CD77" i="2" s="1"/>
  <c r="CD160" i="2" s="1"/>
  <c r="CD175" i="2" s="1"/>
  <c r="CC87" i="2"/>
  <c r="CC78" i="2" s="1"/>
  <c r="CC77" i="2"/>
  <c r="BZ213" i="2"/>
  <c r="BZ218" i="2"/>
  <c r="BY218" i="2" s="1"/>
  <c r="BZ293" i="2"/>
  <c r="BZ219" i="2"/>
  <c r="CC119" i="2"/>
  <c r="BY128" i="2"/>
  <c r="CS121" i="2"/>
  <c r="CT121" i="2" s="1"/>
  <c r="CU121" i="2" s="1"/>
  <c r="CV121" i="2" s="1"/>
  <c r="CW121" i="2" s="1"/>
  <c r="CX208" i="2"/>
  <c r="CX157" i="2" s="1"/>
  <c r="CY157" i="2" s="1"/>
  <c r="CY206" i="2"/>
  <c r="CY208" i="2" s="1"/>
  <c r="BZ128" i="2"/>
  <c r="CF81" i="2"/>
  <c r="CJ81" i="2"/>
  <c r="CD87" i="2" l="1"/>
  <c r="CD78" i="2" s="1"/>
  <c r="CD294" i="2" s="1"/>
  <c r="CE77" i="2"/>
  <c r="CE85" i="2" s="1"/>
  <c r="CF84" i="2"/>
  <c r="CG81" i="2" s="1"/>
  <c r="BZ225" i="2"/>
  <c r="CX121" i="2"/>
  <c r="CY121" i="2" s="1"/>
  <c r="CD119" i="2"/>
  <c r="CC294" i="2"/>
  <c r="CC160" i="2"/>
  <c r="CE78" i="2" l="1"/>
  <c r="CE87" i="2" s="1"/>
  <c r="CC175" i="2"/>
  <c r="CE160" i="2"/>
  <c r="CE175" i="2" s="1"/>
  <c r="CG84" i="2"/>
  <c r="CH81" i="2" s="1"/>
  <c r="CE119" i="2"/>
  <c r="CF85" i="2"/>
  <c r="CE86" i="2" l="1"/>
  <c r="CE294" i="2"/>
  <c r="CG85" i="2"/>
  <c r="CG87" i="2" s="1"/>
  <c r="CG78" i="2" s="1"/>
  <c r="CG294" i="2" s="1"/>
  <c r="CF119" i="2"/>
  <c r="CH84" i="2"/>
  <c r="CI81" i="2" s="1"/>
  <c r="CF77" i="2"/>
  <c r="CF87" i="2"/>
  <c r="CF78" i="2" s="1"/>
  <c r="CG77" i="2" l="1"/>
  <c r="CF294" i="2"/>
  <c r="CH85" i="2"/>
  <c r="CI84" i="2"/>
  <c r="CJ84" i="2" s="1"/>
  <c r="CG119" i="2"/>
  <c r="CI85" i="2" l="1"/>
  <c r="CI77" i="2" s="1"/>
  <c r="CK81" i="2"/>
  <c r="CO81" i="2"/>
  <c r="CH119" i="2"/>
  <c r="CH77" i="2"/>
  <c r="CH87" i="2"/>
  <c r="CH78" i="2" s="1"/>
  <c r="CI87" i="2" l="1"/>
  <c r="CI78" i="2" s="1"/>
  <c r="CI294" i="2" s="1"/>
  <c r="CJ77" i="2"/>
  <c r="CJ85" i="2" s="1"/>
  <c r="CK84" i="2"/>
  <c r="CL81" i="2" s="1"/>
  <c r="CI119" i="2"/>
  <c r="CH294" i="2"/>
  <c r="CJ78" i="2" l="1"/>
  <c r="CJ294" i="2" s="1"/>
  <c r="CK85" i="2"/>
  <c r="CK87" i="2" s="1"/>
  <c r="CK78" i="2" s="1"/>
  <c r="CJ119" i="2"/>
  <c r="CL84" i="2"/>
  <c r="CM81" i="2" s="1"/>
  <c r="CK77" i="2" l="1"/>
  <c r="CJ87" i="2"/>
  <c r="CJ86" i="2" s="1"/>
  <c r="CM84" i="2"/>
  <c r="CN81" i="2" s="1"/>
  <c r="CK119" i="2"/>
  <c r="CL85" i="2"/>
  <c r="CK294" i="2"/>
  <c r="CL119" i="2" l="1"/>
  <c r="CN84" i="2"/>
  <c r="CO84" i="2" s="1"/>
  <c r="CN85" i="2"/>
  <c r="CL77" i="2"/>
  <c r="CL87" i="2"/>
  <c r="CL78" i="2" s="1"/>
  <c r="CM85" i="2"/>
  <c r="CN77" i="2" l="1"/>
  <c r="CN87" i="2"/>
  <c r="CN78" i="2" s="1"/>
  <c r="CN294" i="2" s="1"/>
  <c r="CM119" i="2"/>
  <c r="CM77" i="2"/>
  <c r="CM87" i="2"/>
  <c r="CM78" i="2" s="1"/>
  <c r="CM294" i="2" s="1"/>
  <c r="CP81" i="2"/>
  <c r="CT81" i="2"/>
  <c r="CL294" i="2"/>
  <c r="CO77" i="2" l="1"/>
  <c r="CO85" i="2" s="1"/>
  <c r="CO78" i="2"/>
  <c r="CO87" i="2" s="1"/>
  <c r="CP84" i="2"/>
  <c r="CQ81" i="2" s="1"/>
  <c r="CN119" i="2"/>
  <c r="CO86" i="2" l="1"/>
  <c r="CO294" i="2"/>
  <c r="CP85" i="2"/>
  <c r="CP87" i="2" s="1"/>
  <c r="CP78" i="2" s="1"/>
  <c r="CO119" i="2"/>
  <c r="CQ84" i="2"/>
  <c r="CR81" i="2" s="1"/>
  <c r="CP77" i="2" l="1"/>
  <c r="CR84" i="2"/>
  <c r="CS81" i="2" s="1"/>
  <c r="CP294" i="2"/>
  <c r="CQ85" i="2"/>
  <c r="CP119" i="2"/>
  <c r="CR85" i="2" l="1"/>
  <c r="CR87" i="2" s="1"/>
  <c r="CR78" i="2" s="1"/>
  <c r="CR294" i="2" s="1"/>
  <c r="CQ119" i="2"/>
  <c r="CQ77" i="2"/>
  <c r="CQ87" i="2"/>
  <c r="CQ78" i="2" s="1"/>
  <c r="CS84" i="2"/>
  <c r="CT84" i="2" s="1"/>
  <c r="CR77" i="2" l="1"/>
  <c r="CR119" i="2"/>
  <c r="CU81" i="2"/>
  <c r="CY81" i="2"/>
  <c r="CS85" i="2"/>
  <c r="CQ294" i="2"/>
  <c r="CU84" i="2" l="1"/>
  <c r="CV81" i="2" s="1"/>
  <c r="CS119" i="2"/>
  <c r="CS77" i="2"/>
  <c r="CT77" i="2" s="1"/>
  <c r="CT85" i="2" s="1"/>
  <c r="CS87" i="2"/>
  <c r="CS78" i="2" s="1"/>
  <c r="CT119" i="2" l="1"/>
  <c r="CS294" i="2"/>
  <c r="CT78" i="2"/>
  <c r="CU85" i="2"/>
  <c r="CV84" i="2"/>
  <c r="CW81" i="2" s="1"/>
  <c r="CV85" i="2" l="1"/>
  <c r="CV87" i="2" s="1"/>
  <c r="CV78" i="2" s="1"/>
  <c r="CV294" i="2" s="1"/>
  <c r="CT87" i="2"/>
  <c r="CT86" i="2" s="1"/>
  <c r="CT294" i="2"/>
  <c r="CW84" i="2"/>
  <c r="CX81" i="2" s="1"/>
  <c r="CU77" i="2"/>
  <c r="CU87" i="2"/>
  <c r="CU78" i="2" s="1"/>
  <c r="CU119" i="2"/>
  <c r="CV77" i="2" l="1"/>
  <c r="CX84" i="2"/>
  <c r="CY84" i="2" s="1"/>
  <c r="CW85" i="2"/>
  <c r="CU294" i="2"/>
  <c r="CV119" i="2"/>
  <c r="CW119" i="2" l="1"/>
  <c r="CW77" i="2"/>
  <c r="CW87" i="2"/>
  <c r="CW78" i="2" s="1"/>
  <c r="CX85" i="2"/>
  <c r="CX119" i="2" l="1"/>
  <c r="CW294" i="2"/>
  <c r="CX77" i="2"/>
  <c r="CY77" i="2" s="1"/>
  <c r="CY85" i="2" s="1"/>
  <c r="CX87" i="2"/>
  <c r="CX78" i="2" s="1"/>
  <c r="CX294" i="2" s="1"/>
  <c r="CY119" i="2" l="1"/>
  <c r="CY78" i="2"/>
  <c r="CY87" i="2" l="1"/>
  <c r="CY86" i="2" s="1"/>
  <c r="CY294" i="2"/>
  <c r="CC72" i="2"/>
  <c r="CH72" i="2"/>
  <c r="CE72" i="2" l="1"/>
  <c r="CF72" i="2"/>
  <c r="CG72" i="2"/>
  <c r="CJ72" i="2"/>
  <c r="CA45" i="2" l="1"/>
  <c r="CB45" i="2"/>
  <c r="CC45" i="2"/>
  <c r="CD45" i="2"/>
  <c r="CE45" i="2"/>
  <c r="CF45" i="2"/>
  <c r="CG45" i="2"/>
  <c r="CH45" i="2"/>
  <c r="CI45" i="2"/>
  <c r="CJ45" i="2"/>
  <c r="CK45" i="2"/>
  <c r="CL45" i="2"/>
  <c r="CM45" i="2"/>
  <c r="CN45" i="2"/>
  <c r="CO45" i="2"/>
  <c r="CP45" i="2"/>
  <c r="CQ45" i="2"/>
  <c r="CR45" i="2"/>
  <c r="CS45" i="2"/>
  <c r="CT45" i="2"/>
  <c r="CU45" i="2"/>
  <c r="CV45" i="2"/>
  <c r="CW45" i="2"/>
  <c r="CX45" i="2"/>
  <c r="CY45" i="2"/>
  <c r="CA48" i="2"/>
  <c r="CB48" i="2"/>
  <c r="CC48" i="2"/>
  <c r="CD48" i="2"/>
  <c r="CE48" i="2"/>
  <c r="CF48" i="2"/>
  <c r="CG48" i="2"/>
  <c r="CH48" i="2"/>
  <c r="CI48" i="2"/>
  <c r="CJ48" i="2"/>
  <c r="CK48" i="2"/>
  <c r="CL48" i="2"/>
  <c r="CM48" i="2"/>
  <c r="CN48" i="2"/>
  <c r="CO48" i="2"/>
  <c r="CP48" i="2"/>
  <c r="CQ48" i="2"/>
  <c r="CR48" i="2"/>
  <c r="CS48" i="2"/>
  <c r="CT48" i="2"/>
  <c r="CU48" i="2"/>
  <c r="CV48" i="2"/>
  <c r="CW48" i="2"/>
  <c r="CX48" i="2"/>
  <c r="CY48" i="2"/>
  <c r="CA50" i="2"/>
  <c r="CB50" i="2"/>
  <c r="CC50" i="2"/>
  <c r="CD50" i="2"/>
  <c r="CE50" i="2"/>
  <c r="CF50" i="2"/>
  <c r="CG50" i="2"/>
  <c r="CH50" i="2"/>
  <c r="CI50" i="2"/>
  <c r="CJ50" i="2"/>
  <c r="CK50" i="2"/>
  <c r="CL50" i="2"/>
  <c r="CM50" i="2"/>
  <c r="CN50" i="2"/>
  <c r="CO50" i="2"/>
  <c r="CP50" i="2"/>
  <c r="CQ50" i="2"/>
  <c r="CR50" i="2"/>
  <c r="CS50" i="2"/>
  <c r="CT50" i="2"/>
  <c r="CU50" i="2"/>
  <c r="CV50" i="2"/>
  <c r="CW50" i="2"/>
  <c r="CX50" i="2"/>
  <c r="CY50" i="2"/>
  <c r="CD52" i="2"/>
  <c r="CI52" i="2"/>
  <c r="CN52" i="2"/>
  <c r="CS52" i="2"/>
  <c r="CX52" i="2"/>
  <c r="AM54" i="2"/>
  <c r="AN54" i="2"/>
  <c r="AO54" i="2"/>
  <c r="AP54" i="2"/>
  <c r="CA54" i="2"/>
  <c r="CB54" i="2"/>
  <c r="CC54" i="2"/>
  <c r="CD54" i="2"/>
  <c r="CE54" i="2"/>
  <c r="CF54" i="2"/>
  <c r="CG54" i="2"/>
  <c r="CH54" i="2"/>
  <c r="CI54" i="2"/>
  <c r="CJ54" i="2"/>
  <c r="CK54" i="2"/>
  <c r="CL54" i="2"/>
  <c r="CM54" i="2"/>
  <c r="CN54" i="2"/>
  <c r="CO54" i="2"/>
  <c r="CP54" i="2"/>
  <c r="CQ54" i="2"/>
  <c r="CR54" i="2"/>
  <c r="CS54" i="2"/>
  <c r="CT54" i="2"/>
  <c r="CU54" i="2"/>
  <c r="CV54" i="2"/>
  <c r="CW54" i="2"/>
  <c r="CX54" i="2"/>
  <c r="CY54" i="2"/>
  <c r="CA58" i="2"/>
  <c r="CB58" i="2"/>
  <c r="CC58" i="2"/>
  <c r="CD58" i="2"/>
  <c r="CE58" i="2"/>
  <c r="CF58" i="2"/>
  <c r="CG58" i="2"/>
  <c r="CH58" i="2"/>
  <c r="CI58" i="2"/>
  <c r="CJ58" i="2"/>
  <c r="CK58" i="2"/>
  <c r="CL58" i="2"/>
  <c r="CM58" i="2"/>
  <c r="CN58" i="2"/>
  <c r="CO58" i="2"/>
  <c r="CP58" i="2"/>
  <c r="CQ58" i="2"/>
  <c r="CR58" i="2"/>
  <c r="CS58" i="2"/>
  <c r="CT58" i="2"/>
  <c r="CU58" i="2"/>
  <c r="CV58" i="2"/>
  <c r="CW58" i="2"/>
  <c r="CX58" i="2"/>
  <c r="CY58" i="2"/>
  <c r="CA60" i="2"/>
  <c r="CB60" i="2"/>
  <c r="CC60" i="2"/>
  <c r="CD60" i="2"/>
  <c r="CE60" i="2"/>
  <c r="CF60" i="2"/>
  <c r="CG60" i="2"/>
  <c r="CH60" i="2"/>
  <c r="CI60" i="2"/>
  <c r="CJ60" i="2"/>
  <c r="CK60" i="2"/>
  <c r="CL60" i="2"/>
  <c r="CM60" i="2"/>
  <c r="CN60" i="2"/>
  <c r="CO60" i="2"/>
  <c r="CP60" i="2"/>
  <c r="CQ60" i="2"/>
  <c r="CR60" i="2"/>
  <c r="CS60" i="2"/>
  <c r="CT60" i="2"/>
  <c r="CU60" i="2"/>
  <c r="CV60" i="2"/>
  <c r="CW60" i="2"/>
  <c r="CX60" i="2"/>
  <c r="CY60" i="2"/>
  <c r="CA61" i="2"/>
  <c r="CB61" i="2"/>
  <c r="CC61" i="2"/>
  <c r="CD61" i="2"/>
  <c r="CE61" i="2"/>
  <c r="CF61" i="2"/>
  <c r="CG61" i="2"/>
  <c r="CH61" i="2"/>
  <c r="CI61" i="2"/>
  <c r="CJ61" i="2"/>
  <c r="CK61" i="2"/>
  <c r="CL61" i="2"/>
  <c r="CM61" i="2"/>
  <c r="CN61" i="2"/>
  <c r="CO61" i="2"/>
  <c r="CP61" i="2"/>
  <c r="CQ61" i="2"/>
  <c r="CR61" i="2"/>
  <c r="CS61" i="2"/>
  <c r="CT61" i="2"/>
  <c r="CU61" i="2"/>
  <c r="CV61" i="2"/>
  <c r="CW61" i="2"/>
  <c r="CX61" i="2"/>
  <c r="CY61" i="2"/>
  <c r="CA63" i="2"/>
  <c r="CB63" i="2"/>
  <c r="CC63" i="2"/>
  <c r="CD63" i="2"/>
  <c r="CE63" i="2"/>
  <c r="CF63" i="2"/>
  <c r="CG63" i="2"/>
  <c r="CH63" i="2"/>
  <c r="CI63" i="2"/>
  <c r="CJ63" i="2"/>
  <c r="CK63" i="2"/>
  <c r="CL63" i="2"/>
  <c r="CM63" i="2"/>
  <c r="CN63" i="2"/>
  <c r="CO63" i="2"/>
  <c r="CP63" i="2"/>
  <c r="CQ63" i="2"/>
  <c r="CR63" i="2"/>
  <c r="CS63" i="2"/>
  <c r="CT63" i="2"/>
  <c r="CU63" i="2"/>
  <c r="CV63" i="2"/>
  <c r="CW63" i="2"/>
  <c r="CX63" i="2"/>
  <c r="CY63" i="2"/>
  <c r="CE64" i="2"/>
  <c r="CJ64" i="2"/>
  <c r="CO64" i="2"/>
  <c r="CT64" i="2"/>
  <c r="CY64" i="2"/>
  <c r="CA66" i="2"/>
  <c r="CB66" i="2"/>
  <c r="CC66" i="2"/>
  <c r="CD66" i="2"/>
  <c r="CE66" i="2"/>
  <c r="CF66" i="2"/>
  <c r="CG66" i="2"/>
  <c r="CH66" i="2"/>
  <c r="CI66" i="2"/>
  <c r="CJ66" i="2"/>
  <c r="CK66" i="2"/>
  <c r="CL66" i="2"/>
  <c r="CM66" i="2"/>
  <c r="CN66" i="2"/>
  <c r="CO66" i="2"/>
  <c r="CP66" i="2"/>
  <c r="CQ66" i="2"/>
  <c r="CR66" i="2"/>
  <c r="CS66" i="2"/>
  <c r="CT66" i="2"/>
  <c r="CU66" i="2"/>
  <c r="CV66" i="2"/>
  <c r="CW66" i="2"/>
  <c r="CX66" i="2"/>
  <c r="CY66" i="2"/>
  <c r="AM71" i="2"/>
  <c r="AN71" i="2"/>
  <c r="AO71" i="2"/>
  <c r="AP71" i="2"/>
  <c r="AM72" i="2"/>
  <c r="AN72" i="2"/>
  <c r="AO72" i="2"/>
  <c r="AP72" i="2"/>
  <c r="AM73" i="2"/>
  <c r="AN73" i="2"/>
  <c r="AO73" i="2"/>
  <c r="AP73" i="2"/>
  <c r="CA73" i="2"/>
  <c r="CB73" i="2"/>
  <c r="CC73" i="2"/>
  <c r="CD73" i="2"/>
  <c r="CE73" i="2"/>
  <c r="CF73" i="2"/>
  <c r="CG73" i="2"/>
  <c r="CH73" i="2"/>
  <c r="CI73" i="2"/>
  <c r="CJ73" i="2"/>
  <c r="CK73" i="2"/>
  <c r="CL73" i="2"/>
  <c r="CM73" i="2"/>
  <c r="CN73" i="2"/>
  <c r="CO73" i="2"/>
  <c r="CP73" i="2"/>
  <c r="CQ73" i="2"/>
  <c r="CR73" i="2"/>
  <c r="CS73" i="2"/>
  <c r="CT73" i="2"/>
  <c r="CU73" i="2"/>
  <c r="CV73" i="2"/>
  <c r="CW73" i="2"/>
  <c r="CX73" i="2"/>
  <c r="CY73" i="2"/>
  <c r="AM75" i="2"/>
  <c r="AN75" i="2"/>
  <c r="AO75" i="2"/>
  <c r="AP75" i="2"/>
  <c r="CA75" i="2"/>
  <c r="CB75" i="2"/>
  <c r="CC75" i="2"/>
  <c r="CD75" i="2"/>
  <c r="CE75" i="2"/>
  <c r="CF75" i="2"/>
  <c r="CG75" i="2"/>
  <c r="CH75" i="2"/>
  <c r="CI75" i="2"/>
  <c r="CJ75" i="2"/>
  <c r="CK75" i="2"/>
  <c r="CL75" i="2"/>
  <c r="CM75" i="2"/>
  <c r="CN75" i="2"/>
  <c r="CO75" i="2"/>
  <c r="CP75" i="2"/>
  <c r="CQ75" i="2"/>
  <c r="CR75" i="2"/>
  <c r="CS75" i="2"/>
  <c r="CT75" i="2"/>
  <c r="CU75" i="2"/>
  <c r="CV75" i="2"/>
  <c r="CW75" i="2"/>
  <c r="CX75" i="2"/>
  <c r="CY75" i="2"/>
  <c r="AK80" i="2"/>
  <c r="BG80" i="2"/>
  <c r="BH80" i="2"/>
  <c r="BI80" i="2"/>
  <c r="BJ80" i="2"/>
  <c r="CA92" i="2"/>
  <c r="CB92" i="2"/>
  <c r="CC92" i="2"/>
  <c r="CD92" i="2"/>
  <c r="CE92" i="2"/>
  <c r="CF92" i="2"/>
  <c r="CG92" i="2"/>
  <c r="CH92" i="2"/>
  <c r="CI92" i="2"/>
  <c r="CJ92" i="2"/>
  <c r="CK92" i="2"/>
  <c r="CL92" i="2"/>
  <c r="CM92" i="2"/>
  <c r="CN92" i="2"/>
  <c r="CO92" i="2"/>
  <c r="CP92" i="2"/>
  <c r="CQ92" i="2"/>
  <c r="CR92" i="2"/>
  <c r="CS92" i="2"/>
  <c r="CT92" i="2"/>
  <c r="CU92" i="2"/>
  <c r="CV92" i="2"/>
  <c r="CW92" i="2"/>
  <c r="CX92" i="2"/>
  <c r="CY92" i="2"/>
  <c r="CA97" i="2"/>
  <c r="CB97" i="2"/>
  <c r="CC97" i="2"/>
  <c r="CD97" i="2"/>
  <c r="CE97" i="2"/>
  <c r="CF97" i="2"/>
  <c r="CG97" i="2"/>
  <c r="CH97" i="2"/>
  <c r="CI97" i="2"/>
  <c r="CJ97" i="2"/>
  <c r="CK97" i="2"/>
  <c r="CL97" i="2"/>
  <c r="CM97" i="2"/>
  <c r="CN97" i="2"/>
  <c r="CO97" i="2"/>
  <c r="CP97" i="2"/>
  <c r="CQ97" i="2"/>
  <c r="CR97" i="2"/>
  <c r="CS97" i="2"/>
  <c r="CT97" i="2"/>
  <c r="CU97" i="2"/>
  <c r="CV97" i="2"/>
  <c r="CW97" i="2"/>
  <c r="CX97" i="2"/>
  <c r="CY97" i="2"/>
  <c r="CA102" i="2"/>
  <c r="CB102" i="2"/>
  <c r="CC102" i="2"/>
  <c r="CD102" i="2"/>
  <c r="CE102" i="2"/>
  <c r="CF102" i="2"/>
  <c r="CG102" i="2"/>
  <c r="CH102" i="2"/>
  <c r="CI102" i="2"/>
  <c r="CJ102" i="2"/>
  <c r="CK102" i="2"/>
  <c r="CL102" i="2"/>
  <c r="CM102" i="2"/>
  <c r="CN102" i="2"/>
  <c r="CO102" i="2"/>
  <c r="CP102" i="2"/>
  <c r="CQ102" i="2"/>
  <c r="CR102" i="2"/>
  <c r="CS102" i="2"/>
  <c r="CT102" i="2"/>
  <c r="CU102" i="2"/>
  <c r="CV102" i="2"/>
  <c r="CW102" i="2"/>
  <c r="CX102" i="2"/>
  <c r="CY102" i="2"/>
  <c r="CA105" i="2"/>
  <c r="CB105" i="2"/>
  <c r="CC105" i="2"/>
  <c r="CD105" i="2"/>
  <c r="CE105" i="2"/>
  <c r="CF105" i="2"/>
  <c r="CG105" i="2"/>
  <c r="CH105" i="2"/>
  <c r="CI105" i="2"/>
  <c r="CJ105" i="2"/>
  <c r="CK105" i="2"/>
  <c r="CL105" i="2"/>
  <c r="CM105" i="2"/>
  <c r="CN105" i="2"/>
  <c r="CO105" i="2"/>
  <c r="CP105" i="2"/>
  <c r="CQ105" i="2"/>
  <c r="CR105" i="2"/>
  <c r="CS105" i="2"/>
  <c r="CT105" i="2"/>
  <c r="CU105" i="2"/>
  <c r="CV105" i="2"/>
  <c r="CW105" i="2"/>
  <c r="CX105" i="2"/>
  <c r="CY105" i="2"/>
  <c r="CA109" i="2"/>
  <c r="CB109" i="2"/>
  <c r="CC109" i="2"/>
  <c r="CD109" i="2"/>
  <c r="CE109" i="2"/>
  <c r="CF109" i="2"/>
  <c r="CG109" i="2"/>
  <c r="CH109" i="2"/>
  <c r="CI109" i="2"/>
  <c r="CJ109" i="2"/>
  <c r="CK109" i="2"/>
  <c r="CL109" i="2"/>
  <c r="CM109" i="2"/>
  <c r="CN109" i="2"/>
  <c r="CO109" i="2"/>
  <c r="CP109" i="2"/>
  <c r="CQ109" i="2"/>
  <c r="CR109" i="2"/>
  <c r="CS109" i="2"/>
  <c r="CT109" i="2"/>
  <c r="CU109" i="2"/>
  <c r="CV109" i="2"/>
  <c r="CW109" i="2"/>
  <c r="CX109" i="2"/>
  <c r="CY109" i="2"/>
  <c r="CA112" i="2"/>
  <c r="CB112" i="2"/>
  <c r="CC112" i="2"/>
  <c r="CD112" i="2"/>
  <c r="CE112" i="2"/>
  <c r="CF112" i="2"/>
  <c r="CG112" i="2"/>
  <c r="CH112" i="2"/>
  <c r="CI112" i="2"/>
  <c r="CJ112" i="2"/>
  <c r="CK112" i="2"/>
  <c r="CL112" i="2"/>
  <c r="CM112" i="2"/>
  <c r="CN112" i="2"/>
  <c r="CO112" i="2"/>
  <c r="CP112" i="2"/>
  <c r="CQ112" i="2"/>
  <c r="CR112" i="2"/>
  <c r="CS112" i="2"/>
  <c r="CT112" i="2"/>
  <c r="CU112" i="2"/>
  <c r="CV112" i="2"/>
  <c r="CW112" i="2"/>
  <c r="CX112" i="2"/>
  <c r="CY112" i="2"/>
  <c r="CA114" i="2"/>
  <c r="CB114" i="2"/>
  <c r="CC114" i="2"/>
  <c r="CD114" i="2"/>
  <c r="CE114" i="2"/>
  <c r="CF114" i="2"/>
  <c r="CG114" i="2"/>
  <c r="CH114" i="2"/>
  <c r="CI114" i="2"/>
  <c r="CJ114" i="2"/>
  <c r="CK114" i="2"/>
  <c r="CL114" i="2"/>
  <c r="CM114" i="2"/>
  <c r="CN114" i="2"/>
  <c r="CO114" i="2"/>
  <c r="CP114" i="2"/>
  <c r="CQ114" i="2"/>
  <c r="CR114" i="2"/>
  <c r="CS114" i="2"/>
  <c r="CT114" i="2"/>
  <c r="CU114" i="2"/>
  <c r="CV114" i="2"/>
  <c r="CW114" i="2"/>
  <c r="CX114" i="2"/>
  <c r="CY114" i="2"/>
  <c r="CA120" i="2"/>
  <c r="CB120" i="2"/>
  <c r="CC120" i="2"/>
  <c r="CD120" i="2"/>
  <c r="CE120" i="2"/>
  <c r="CF120" i="2"/>
  <c r="CG120" i="2"/>
  <c r="CH120" i="2"/>
  <c r="CI120" i="2"/>
  <c r="CJ120" i="2"/>
  <c r="CK120" i="2"/>
  <c r="CL120" i="2"/>
  <c r="CM120" i="2"/>
  <c r="CN120" i="2"/>
  <c r="CO120" i="2"/>
  <c r="CP120" i="2"/>
  <c r="CQ120" i="2"/>
  <c r="CR120" i="2"/>
  <c r="CS120" i="2"/>
  <c r="CT120" i="2"/>
  <c r="CU120" i="2"/>
  <c r="CV120" i="2"/>
  <c r="CW120" i="2"/>
  <c r="CX120" i="2"/>
  <c r="CY120" i="2"/>
  <c r="CA124" i="2"/>
  <c r="CB124" i="2"/>
  <c r="CC124" i="2"/>
  <c r="CD124" i="2"/>
  <c r="CE124" i="2"/>
  <c r="CF124" i="2"/>
  <c r="CG124" i="2"/>
  <c r="CH124" i="2"/>
  <c r="CI124" i="2"/>
  <c r="CJ124" i="2"/>
  <c r="CK124" i="2"/>
  <c r="CL124" i="2"/>
  <c r="CM124" i="2"/>
  <c r="CN124" i="2"/>
  <c r="CO124" i="2"/>
  <c r="CP124" i="2"/>
  <c r="CQ124" i="2"/>
  <c r="CR124" i="2"/>
  <c r="CS124" i="2"/>
  <c r="CT124" i="2"/>
  <c r="CU124" i="2"/>
  <c r="CV124" i="2"/>
  <c r="CW124" i="2"/>
  <c r="CX124" i="2"/>
  <c r="CY124" i="2"/>
  <c r="CA126" i="2"/>
  <c r="CB126" i="2"/>
  <c r="CC126" i="2"/>
  <c r="CD126" i="2"/>
  <c r="CE126" i="2"/>
  <c r="CF126" i="2"/>
  <c r="CG126" i="2"/>
  <c r="CH126" i="2"/>
  <c r="CI126" i="2"/>
  <c r="CJ126" i="2"/>
  <c r="CK126" i="2"/>
  <c r="CL126" i="2"/>
  <c r="CM126" i="2"/>
  <c r="CN126" i="2"/>
  <c r="CO126" i="2"/>
  <c r="CP126" i="2"/>
  <c r="CQ126" i="2"/>
  <c r="CR126" i="2"/>
  <c r="CS126" i="2"/>
  <c r="CT126" i="2"/>
  <c r="CU126" i="2"/>
  <c r="CV126" i="2"/>
  <c r="CW126" i="2"/>
  <c r="CX126" i="2"/>
  <c r="CY126" i="2"/>
  <c r="CA128" i="2"/>
  <c r="CB128" i="2"/>
  <c r="CC128" i="2"/>
  <c r="CD128" i="2"/>
  <c r="CE128" i="2"/>
  <c r="CF128" i="2"/>
  <c r="CG128" i="2"/>
  <c r="CH128" i="2"/>
  <c r="CI128" i="2"/>
  <c r="CJ128" i="2"/>
  <c r="CK128" i="2"/>
  <c r="CL128" i="2"/>
  <c r="CM128" i="2"/>
  <c r="CN128" i="2"/>
  <c r="CO128" i="2"/>
  <c r="CP128" i="2"/>
  <c r="CQ128" i="2"/>
  <c r="CR128" i="2"/>
  <c r="CS128" i="2"/>
  <c r="CT128" i="2"/>
  <c r="CU128" i="2"/>
  <c r="CV128" i="2"/>
  <c r="CW128" i="2"/>
  <c r="CX128" i="2"/>
  <c r="CY128" i="2"/>
  <c r="CA132" i="2"/>
  <c r="CB132" i="2"/>
  <c r="CC132" i="2"/>
  <c r="CD132" i="2"/>
  <c r="CE132" i="2"/>
  <c r="CF132" i="2"/>
  <c r="CG132" i="2"/>
  <c r="CH132" i="2"/>
  <c r="CI132" i="2"/>
  <c r="CJ132" i="2"/>
  <c r="CK132" i="2"/>
  <c r="CL132" i="2"/>
  <c r="CM132" i="2"/>
  <c r="CN132" i="2"/>
  <c r="CO132" i="2"/>
  <c r="CP132" i="2"/>
  <c r="CQ132" i="2"/>
  <c r="CR132" i="2"/>
  <c r="CS132" i="2"/>
  <c r="CT132" i="2"/>
  <c r="CU132" i="2"/>
  <c r="CV132" i="2"/>
  <c r="CW132" i="2"/>
  <c r="CX132" i="2"/>
  <c r="CY132" i="2"/>
  <c r="CA136" i="2"/>
  <c r="CB136" i="2"/>
  <c r="CC136" i="2"/>
  <c r="CD136" i="2"/>
  <c r="CE136" i="2"/>
  <c r="CF136" i="2"/>
  <c r="CG136" i="2"/>
  <c r="CH136" i="2"/>
  <c r="CI136" i="2"/>
  <c r="CJ136" i="2"/>
  <c r="CK136" i="2"/>
  <c r="CL136" i="2"/>
  <c r="CM136" i="2"/>
  <c r="CN136" i="2"/>
  <c r="CO136" i="2"/>
  <c r="CP136" i="2"/>
  <c r="CQ136" i="2"/>
  <c r="CR136" i="2"/>
  <c r="CS136" i="2"/>
  <c r="CT136" i="2"/>
  <c r="CU136" i="2"/>
  <c r="CV136" i="2"/>
  <c r="CW136" i="2"/>
  <c r="CX136" i="2"/>
  <c r="CY136" i="2"/>
  <c r="CA145" i="2"/>
  <c r="CB145" i="2"/>
  <c r="CC145" i="2"/>
  <c r="CD145" i="2"/>
  <c r="CE145" i="2"/>
  <c r="CF145" i="2"/>
  <c r="CG145" i="2"/>
  <c r="CH145" i="2"/>
  <c r="CI145" i="2"/>
  <c r="CJ145" i="2"/>
  <c r="CK145" i="2"/>
  <c r="CL145" i="2"/>
  <c r="CM145" i="2"/>
  <c r="CN145" i="2"/>
  <c r="CO145" i="2"/>
  <c r="CP145" i="2"/>
  <c r="CQ145" i="2"/>
  <c r="CR145" i="2"/>
  <c r="CS145" i="2"/>
  <c r="CT145" i="2"/>
  <c r="CU145" i="2"/>
  <c r="CV145" i="2"/>
  <c r="CW145" i="2"/>
  <c r="CX145" i="2"/>
  <c r="CY145" i="2"/>
  <c r="AP148" i="2"/>
  <c r="AQ148" i="2"/>
  <c r="BJ150" i="2"/>
  <c r="BK150" i="2"/>
  <c r="BY150" i="2"/>
  <c r="BZ150" i="2"/>
  <c r="AP152" i="2"/>
  <c r="AQ152" i="2"/>
  <c r="BJ152" i="2"/>
  <c r="BK152" i="2"/>
  <c r="BY152" i="2"/>
  <c r="BZ152" i="2"/>
  <c r="CA156" i="2"/>
  <c r="CB156" i="2"/>
  <c r="CC156" i="2"/>
  <c r="CD156" i="2"/>
  <c r="CE156" i="2"/>
  <c r="CF156" i="2"/>
  <c r="CG156" i="2"/>
  <c r="CH156" i="2"/>
  <c r="CI156" i="2"/>
  <c r="CJ156" i="2"/>
  <c r="CK156" i="2"/>
  <c r="CL156" i="2"/>
  <c r="CM156" i="2"/>
  <c r="CN156" i="2"/>
  <c r="CO156" i="2"/>
  <c r="CP156" i="2"/>
  <c r="CQ156" i="2"/>
  <c r="CR156" i="2"/>
  <c r="CS156" i="2"/>
  <c r="CT156" i="2"/>
  <c r="CU156" i="2"/>
  <c r="CV156" i="2"/>
  <c r="CW156" i="2"/>
  <c r="CX156" i="2"/>
  <c r="CY156" i="2"/>
  <c r="AK157" i="2"/>
  <c r="AL157" i="2"/>
  <c r="AK159" i="2"/>
  <c r="AL159" i="2"/>
  <c r="AP159" i="2"/>
  <c r="AQ159" i="2"/>
  <c r="BE159" i="2"/>
  <c r="BF159" i="2"/>
  <c r="BJ159" i="2"/>
  <c r="BK159" i="2"/>
  <c r="BT159" i="2"/>
  <c r="BU159" i="2"/>
  <c r="AK160" i="2"/>
  <c r="AL160" i="2"/>
  <c r="AP160" i="2"/>
  <c r="AQ160" i="2"/>
  <c r="AW160" i="2"/>
  <c r="AZ160" i="2"/>
  <c r="BE160" i="2"/>
  <c r="BF160" i="2"/>
  <c r="BI160" i="2"/>
  <c r="BJ160" i="2"/>
  <c r="BK160" i="2"/>
  <c r="CF160" i="2"/>
  <c r="CG160" i="2"/>
  <c r="CH160" i="2"/>
  <c r="CI160" i="2"/>
  <c r="CJ160" i="2"/>
  <c r="CK160" i="2"/>
  <c r="CL160" i="2"/>
  <c r="CM160" i="2"/>
  <c r="CN160" i="2"/>
  <c r="CO160" i="2"/>
  <c r="CP160" i="2"/>
  <c r="CQ160" i="2"/>
  <c r="CR160" i="2"/>
  <c r="CS160" i="2"/>
  <c r="CT160" i="2"/>
  <c r="CU160" i="2"/>
  <c r="CV160" i="2"/>
  <c r="CW160" i="2"/>
  <c r="CX160" i="2"/>
  <c r="CY160" i="2"/>
  <c r="AK161" i="2"/>
  <c r="AL161" i="2"/>
  <c r="AP161" i="2"/>
  <c r="AQ161" i="2"/>
  <c r="AW161" i="2"/>
  <c r="AZ161" i="2"/>
  <c r="BE161" i="2"/>
  <c r="BF161" i="2"/>
  <c r="BI161" i="2"/>
  <c r="BJ161" i="2"/>
  <c r="BK161" i="2"/>
  <c r="BT161" i="2"/>
  <c r="BU161" i="2"/>
  <c r="CA161" i="2"/>
  <c r="CB161" i="2"/>
  <c r="CC161" i="2"/>
  <c r="CD161" i="2"/>
  <c r="CE161" i="2"/>
  <c r="CF161" i="2"/>
  <c r="CG161" i="2"/>
  <c r="CH161" i="2"/>
  <c r="CI161" i="2"/>
  <c r="CJ161" i="2"/>
  <c r="CK161" i="2"/>
  <c r="CL161" i="2"/>
  <c r="CM161" i="2"/>
  <c r="CN161" i="2"/>
  <c r="CO161" i="2"/>
  <c r="CP161" i="2"/>
  <c r="CQ161" i="2"/>
  <c r="CR161" i="2"/>
  <c r="CS161" i="2"/>
  <c r="CT161" i="2"/>
  <c r="CU161" i="2"/>
  <c r="CV161" i="2"/>
  <c r="CW161" i="2"/>
  <c r="CX161" i="2"/>
  <c r="CY161" i="2"/>
  <c r="AK165" i="2"/>
  <c r="AL165" i="2"/>
  <c r="AP165" i="2"/>
  <c r="AQ165" i="2"/>
  <c r="AW165" i="2"/>
  <c r="AZ165" i="2"/>
  <c r="BE165" i="2"/>
  <c r="BF165" i="2"/>
  <c r="BI165" i="2"/>
  <c r="BJ165" i="2"/>
  <c r="BK165" i="2"/>
  <c r="BT165" i="2"/>
  <c r="BU165" i="2"/>
  <c r="BY165" i="2"/>
  <c r="BZ165" i="2"/>
  <c r="CA165" i="2"/>
  <c r="CB165" i="2"/>
  <c r="CC165" i="2"/>
  <c r="CD165" i="2"/>
  <c r="CE165" i="2"/>
  <c r="CF165" i="2"/>
  <c r="CG165" i="2"/>
  <c r="CH165" i="2"/>
  <c r="CI165" i="2"/>
  <c r="CJ165" i="2"/>
  <c r="CK165" i="2"/>
  <c r="CL165" i="2"/>
  <c r="CM165" i="2"/>
  <c r="CN165" i="2"/>
  <c r="CO165" i="2"/>
  <c r="CP165" i="2"/>
  <c r="CQ165" i="2"/>
  <c r="CR165" i="2"/>
  <c r="CS165" i="2"/>
  <c r="CT165" i="2"/>
  <c r="CU165" i="2"/>
  <c r="CV165" i="2"/>
  <c r="CW165" i="2"/>
  <c r="CX165" i="2"/>
  <c r="CY165" i="2"/>
  <c r="AM166" i="2"/>
  <c r="AN166" i="2"/>
  <c r="AO166" i="2"/>
  <c r="AP166" i="2"/>
  <c r="AQ166" i="2"/>
  <c r="AR166" i="2"/>
  <c r="AS166" i="2"/>
  <c r="AT166" i="2"/>
  <c r="AU166" i="2"/>
  <c r="AV166" i="2"/>
  <c r="AW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CQ166" i="2"/>
  <c r="CR166" i="2"/>
  <c r="CS166" i="2"/>
  <c r="CT166" i="2"/>
  <c r="CU166" i="2"/>
  <c r="CV166" i="2"/>
  <c r="CW166" i="2"/>
  <c r="CX166" i="2"/>
  <c r="CY166" i="2"/>
  <c r="AK167" i="2"/>
  <c r="AL167" i="2"/>
  <c r="AM167" i="2"/>
  <c r="AN167" i="2"/>
  <c r="AO167" i="2"/>
  <c r="AP167" i="2"/>
  <c r="AQ167" i="2"/>
  <c r="AR167" i="2"/>
  <c r="AS167" i="2"/>
  <c r="AT167" i="2"/>
  <c r="AU167" i="2"/>
  <c r="AV167" i="2"/>
  <c r="AW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CQ167" i="2"/>
  <c r="CR167" i="2"/>
  <c r="CS167" i="2"/>
  <c r="CT167" i="2"/>
  <c r="CU167" i="2"/>
  <c r="CV167" i="2"/>
  <c r="CW167" i="2"/>
  <c r="CX167" i="2"/>
  <c r="CY167" i="2"/>
  <c r="AK168" i="2"/>
  <c r="AL168" i="2"/>
  <c r="AM168" i="2"/>
  <c r="AN168" i="2"/>
  <c r="AO168" i="2"/>
  <c r="AP168" i="2"/>
  <c r="AQ168" i="2"/>
  <c r="AR168" i="2"/>
  <c r="AS168" i="2"/>
  <c r="AT168" i="2"/>
  <c r="AU168" i="2"/>
  <c r="AV168" i="2"/>
  <c r="AW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CQ168" i="2"/>
  <c r="CR168" i="2"/>
  <c r="CS168" i="2"/>
  <c r="CT168" i="2"/>
  <c r="CU168" i="2"/>
  <c r="CV168" i="2"/>
  <c r="CW168" i="2"/>
  <c r="CX168" i="2"/>
  <c r="CY168" i="2"/>
  <c r="CA170" i="2"/>
  <c r="CB170" i="2"/>
  <c r="CC170" i="2"/>
  <c r="CD170" i="2"/>
  <c r="CE170" i="2"/>
  <c r="CF170" i="2"/>
  <c r="CG170" i="2"/>
  <c r="CH170" i="2"/>
  <c r="CI170" i="2"/>
  <c r="CJ170" i="2"/>
  <c r="CK170" i="2"/>
  <c r="CL170" i="2"/>
  <c r="CM170" i="2"/>
  <c r="CN170" i="2"/>
  <c r="CO170" i="2"/>
  <c r="CP170" i="2"/>
  <c r="CQ170" i="2"/>
  <c r="CR170" i="2"/>
  <c r="CS170" i="2"/>
  <c r="CT170" i="2"/>
  <c r="CU170" i="2"/>
  <c r="CV170" i="2"/>
  <c r="CW170" i="2"/>
  <c r="CX170" i="2"/>
  <c r="CY170" i="2"/>
  <c r="CA171" i="2"/>
  <c r="CB171" i="2"/>
  <c r="CC171" i="2"/>
  <c r="CD171" i="2"/>
  <c r="CE171" i="2"/>
  <c r="CF171" i="2"/>
  <c r="CG171" i="2"/>
  <c r="CH171" i="2"/>
  <c r="CI171" i="2"/>
  <c r="CJ171" i="2"/>
  <c r="CK171" i="2"/>
  <c r="CL171" i="2"/>
  <c r="CM171" i="2"/>
  <c r="CN171" i="2"/>
  <c r="CO171" i="2"/>
  <c r="CP171" i="2"/>
  <c r="CQ171" i="2"/>
  <c r="CR171" i="2"/>
  <c r="CS171" i="2"/>
  <c r="CT171" i="2"/>
  <c r="CU171" i="2"/>
  <c r="CV171" i="2"/>
  <c r="CW171" i="2"/>
  <c r="CX171" i="2"/>
  <c r="CY171" i="2"/>
  <c r="CA172" i="2"/>
  <c r="CB172" i="2"/>
  <c r="CC172" i="2"/>
  <c r="CD172" i="2"/>
  <c r="CE172" i="2"/>
  <c r="CF172" i="2"/>
  <c r="CG172" i="2"/>
  <c r="CH172" i="2"/>
  <c r="CI172" i="2"/>
  <c r="CJ172" i="2"/>
  <c r="CK172" i="2"/>
  <c r="CL172" i="2"/>
  <c r="CM172" i="2"/>
  <c r="CN172" i="2"/>
  <c r="CO172" i="2"/>
  <c r="CP172" i="2"/>
  <c r="CQ172" i="2"/>
  <c r="CR172" i="2"/>
  <c r="CS172" i="2"/>
  <c r="CT172" i="2"/>
  <c r="CU172" i="2"/>
  <c r="CV172" i="2"/>
  <c r="CW172" i="2"/>
  <c r="CX172" i="2"/>
  <c r="CY172" i="2"/>
  <c r="CA173" i="2"/>
  <c r="CB173" i="2"/>
  <c r="CC173" i="2"/>
  <c r="CD173" i="2"/>
  <c r="CE173" i="2"/>
  <c r="CF173" i="2"/>
  <c r="CG173" i="2"/>
  <c r="CH173" i="2"/>
  <c r="CI173" i="2"/>
  <c r="CJ173" i="2"/>
  <c r="CK173" i="2"/>
  <c r="CL173" i="2"/>
  <c r="CM173" i="2"/>
  <c r="CN173" i="2"/>
  <c r="CO173" i="2"/>
  <c r="CP173" i="2"/>
  <c r="CQ173" i="2"/>
  <c r="CR173" i="2"/>
  <c r="CS173" i="2"/>
  <c r="CT173" i="2"/>
  <c r="CU173" i="2"/>
  <c r="CV173" i="2"/>
  <c r="CW173" i="2"/>
  <c r="CX173" i="2"/>
  <c r="CY173" i="2"/>
  <c r="CA174" i="2"/>
  <c r="CB174" i="2"/>
  <c r="CC174" i="2"/>
  <c r="CD174" i="2"/>
  <c r="CE174" i="2"/>
  <c r="CF174" i="2"/>
  <c r="CG174" i="2"/>
  <c r="CH174" i="2"/>
  <c r="CI174" i="2"/>
  <c r="CJ174" i="2"/>
  <c r="CK174" i="2"/>
  <c r="CL174" i="2"/>
  <c r="CM174" i="2"/>
  <c r="CN174" i="2"/>
  <c r="CO174" i="2"/>
  <c r="CP174" i="2"/>
  <c r="CQ174" i="2"/>
  <c r="CR174" i="2"/>
  <c r="CS174" i="2"/>
  <c r="CT174" i="2"/>
  <c r="CU174" i="2"/>
  <c r="CV174" i="2"/>
  <c r="CW174" i="2"/>
  <c r="CX174" i="2"/>
  <c r="CY174" i="2"/>
  <c r="AK175" i="2"/>
  <c r="AL175" i="2"/>
  <c r="AP175" i="2"/>
  <c r="AQ175" i="2"/>
  <c r="AW175" i="2"/>
  <c r="AZ175" i="2"/>
  <c r="BE175" i="2"/>
  <c r="BF175" i="2"/>
  <c r="BI175" i="2"/>
  <c r="BJ175" i="2"/>
  <c r="BK175" i="2"/>
  <c r="CF175" i="2"/>
  <c r="CG175" i="2"/>
  <c r="CH175" i="2"/>
  <c r="CI175" i="2"/>
  <c r="CJ175" i="2"/>
  <c r="CK175" i="2"/>
  <c r="CL175" i="2"/>
  <c r="CM175" i="2"/>
  <c r="CN175" i="2"/>
  <c r="CO175" i="2"/>
  <c r="CP175" i="2"/>
  <c r="CQ175" i="2"/>
  <c r="CR175" i="2"/>
  <c r="CS175" i="2"/>
  <c r="CT175" i="2"/>
  <c r="CU175" i="2"/>
  <c r="CV175" i="2"/>
  <c r="CW175" i="2"/>
  <c r="CX175" i="2"/>
  <c r="CY175" i="2"/>
  <c r="AK176" i="2"/>
  <c r="AL176" i="2"/>
  <c r="AP176" i="2"/>
  <c r="AQ176" i="2"/>
  <c r="AW176" i="2"/>
  <c r="AZ176" i="2"/>
  <c r="BE176" i="2"/>
  <c r="BF176" i="2"/>
  <c r="BI176" i="2"/>
  <c r="BJ176" i="2"/>
  <c r="BK176" i="2"/>
  <c r="CA176" i="2"/>
  <c r="CB176" i="2"/>
  <c r="CC176" i="2"/>
  <c r="CD176" i="2"/>
  <c r="CE176" i="2"/>
  <c r="CF176" i="2"/>
  <c r="CG176" i="2"/>
  <c r="CH176" i="2"/>
  <c r="CI176" i="2"/>
  <c r="CJ176" i="2"/>
  <c r="CK176" i="2"/>
  <c r="CL176" i="2"/>
  <c r="CM176" i="2"/>
  <c r="CN176" i="2"/>
  <c r="CO176" i="2"/>
  <c r="CP176" i="2"/>
  <c r="CQ176" i="2"/>
  <c r="CR176" i="2"/>
  <c r="CS176" i="2"/>
  <c r="CT176" i="2"/>
  <c r="CU176" i="2"/>
  <c r="CV176" i="2"/>
  <c r="CW176" i="2"/>
  <c r="CX176" i="2"/>
  <c r="CY176" i="2"/>
  <c r="CD181" i="2"/>
  <c r="CI181" i="2"/>
  <c r="CN181" i="2"/>
  <c r="CS181" i="2"/>
  <c r="CX181" i="2"/>
  <c r="AK196" i="2"/>
  <c r="AL196" i="2"/>
  <c r="AP196" i="2"/>
  <c r="AQ196" i="2"/>
  <c r="AW196" i="2"/>
  <c r="AZ196" i="2"/>
  <c r="BA196" i="2"/>
  <c r="BE196" i="2"/>
  <c r="BF196" i="2"/>
  <c r="BI196" i="2"/>
  <c r="BJ196" i="2"/>
  <c r="BK196" i="2"/>
  <c r="CF196" i="2"/>
  <c r="CG196" i="2"/>
  <c r="CH196" i="2"/>
  <c r="CI196" i="2"/>
  <c r="CJ196" i="2"/>
  <c r="CK196" i="2"/>
  <c r="CL196" i="2"/>
  <c r="CM196" i="2"/>
  <c r="CN196" i="2"/>
  <c r="CO196" i="2"/>
  <c r="CP196" i="2"/>
  <c r="CQ196" i="2"/>
  <c r="CR196" i="2"/>
  <c r="CS196" i="2"/>
  <c r="CT196" i="2"/>
  <c r="CU196" i="2"/>
  <c r="CV196" i="2"/>
  <c r="CW196" i="2"/>
  <c r="CX196" i="2"/>
  <c r="CY196" i="2"/>
  <c r="CE197" i="2"/>
  <c r="CF197" i="2"/>
  <c r="CG197" i="2"/>
  <c r="CH197" i="2"/>
  <c r="CI197" i="2"/>
  <c r="BG201" i="2"/>
  <c r="BH201" i="2"/>
  <c r="AK202" i="2"/>
  <c r="BG202" i="2"/>
  <c r="BH202" i="2"/>
  <c r="BI202" i="2"/>
  <c r="BJ202" i="2"/>
  <c r="BG208" i="2"/>
  <c r="BH208" i="2"/>
  <c r="BI208" i="2"/>
  <c r="BJ208" i="2"/>
  <c r="CA210" i="2"/>
  <c r="CB210" i="2"/>
  <c r="CC210" i="2"/>
  <c r="CD210" i="2"/>
  <c r="CE210" i="2"/>
  <c r="CF210" i="2"/>
  <c r="CG210" i="2"/>
  <c r="CH210" i="2"/>
  <c r="CI210" i="2"/>
  <c r="CJ210" i="2"/>
  <c r="CK210" i="2"/>
  <c r="CL210" i="2"/>
  <c r="CM210" i="2"/>
  <c r="CN210" i="2"/>
  <c r="CO210" i="2"/>
  <c r="CP210" i="2"/>
  <c r="CQ210" i="2"/>
  <c r="CR210" i="2"/>
  <c r="CS210" i="2"/>
  <c r="CT210" i="2"/>
  <c r="CU210" i="2"/>
  <c r="CV210" i="2"/>
  <c r="CW210" i="2"/>
  <c r="CX210" i="2"/>
  <c r="CY210" i="2"/>
  <c r="CA211" i="2"/>
  <c r="CB211" i="2"/>
  <c r="CC211" i="2"/>
  <c r="CD211" i="2"/>
  <c r="CE211" i="2"/>
  <c r="CF211" i="2"/>
  <c r="CG211" i="2"/>
  <c r="CH211" i="2"/>
  <c r="CI211" i="2"/>
  <c r="CJ211" i="2"/>
  <c r="CK211" i="2"/>
  <c r="CL211" i="2"/>
  <c r="CM211" i="2"/>
  <c r="CN211" i="2"/>
  <c r="CO211" i="2"/>
  <c r="CP211" i="2"/>
  <c r="CQ211" i="2"/>
  <c r="CR211" i="2"/>
  <c r="CS211" i="2"/>
  <c r="CT211" i="2"/>
  <c r="CU211" i="2"/>
  <c r="CV211" i="2"/>
  <c r="CW211" i="2"/>
  <c r="CX211" i="2"/>
  <c r="CY211" i="2"/>
  <c r="CA212" i="2"/>
  <c r="CB212" i="2"/>
  <c r="CC212" i="2"/>
  <c r="CD212" i="2"/>
  <c r="CE212" i="2"/>
  <c r="CF212" i="2"/>
  <c r="CG212" i="2"/>
  <c r="CH212" i="2"/>
  <c r="CI212" i="2"/>
  <c r="CJ212" i="2"/>
  <c r="CK212" i="2"/>
  <c r="CL212" i="2"/>
  <c r="CM212" i="2"/>
  <c r="CN212" i="2"/>
  <c r="CO212" i="2"/>
  <c r="CP212" i="2"/>
  <c r="CQ212" i="2"/>
  <c r="CR212" i="2"/>
  <c r="CS212" i="2"/>
  <c r="CT212" i="2"/>
  <c r="CU212" i="2"/>
  <c r="CV212" i="2"/>
  <c r="CW212" i="2"/>
  <c r="CX212" i="2"/>
  <c r="CY212" i="2"/>
  <c r="CE213" i="2"/>
  <c r="CJ213" i="2"/>
  <c r="CO213" i="2"/>
  <c r="CT213" i="2"/>
  <c r="CY213" i="2"/>
  <c r="AR215" i="2"/>
  <c r="AS215" i="2"/>
  <c r="AT215" i="2"/>
  <c r="AU215" i="2"/>
  <c r="AV215" i="2"/>
  <c r="AW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CQ215" i="2"/>
  <c r="CR215" i="2"/>
  <c r="CS215" i="2"/>
  <c r="CT215" i="2"/>
  <c r="CU215" i="2"/>
  <c r="CV215" i="2"/>
  <c r="CW215" i="2"/>
  <c r="CX215" i="2"/>
  <c r="CY215" i="2"/>
  <c r="AP216" i="2"/>
  <c r="AQ216" i="2"/>
  <c r="AW216" i="2"/>
  <c r="AZ216" i="2"/>
  <c r="BE216" i="2"/>
  <c r="BF216" i="2"/>
  <c r="BI216" i="2"/>
  <c r="BJ216" i="2"/>
  <c r="BK216" i="2"/>
  <c r="BY216" i="2"/>
  <c r="BZ216" i="2"/>
  <c r="CA216" i="2"/>
  <c r="CB216" i="2"/>
  <c r="CC216" i="2"/>
  <c r="CD216" i="2"/>
  <c r="CE216" i="2"/>
  <c r="CF216" i="2"/>
  <c r="CG216" i="2"/>
  <c r="CH216" i="2"/>
  <c r="CI216" i="2"/>
  <c r="CJ216" i="2"/>
  <c r="CK216" i="2"/>
  <c r="CL216" i="2"/>
  <c r="CM216" i="2"/>
  <c r="CN216" i="2"/>
  <c r="CO216" i="2"/>
  <c r="CP216" i="2"/>
  <c r="CQ216" i="2"/>
  <c r="CR216" i="2"/>
  <c r="CS216" i="2"/>
  <c r="CT216" i="2"/>
  <c r="CU216" i="2"/>
  <c r="CV216" i="2"/>
  <c r="CW216" i="2"/>
  <c r="CX216" i="2"/>
  <c r="CY216" i="2"/>
  <c r="AP217" i="2"/>
  <c r="AQ217" i="2"/>
  <c r="AR217" i="2"/>
  <c r="AS217" i="2"/>
  <c r="AT217" i="2"/>
  <c r="AU217" i="2"/>
  <c r="AV217" i="2"/>
  <c r="AW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CQ217" i="2"/>
  <c r="CR217" i="2"/>
  <c r="CS217" i="2"/>
  <c r="CT217" i="2"/>
  <c r="CU217" i="2"/>
  <c r="CV217" i="2"/>
  <c r="CW217" i="2"/>
  <c r="CX217" i="2"/>
  <c r="CY217" i="2"/>
  <c r="CA218" i="2"/>
  <c r="CB218" i="2"/>
  <c r="CC218" i="2"/>
  <c r="CD218" i="2"/>
  <c r="CE218" i="2"/>
  <c r="CF218" i="2"/>
  <c r="CG218" i="2"/>
  <c r="CH218" i="2"/>
  <c r="CI218" i="2"/>
  <c r="CJ218" i="2"/>
  <c r="CK218" i="2"/>
  <c r="CL218" i="2"/>
  <c r="CM218" i="2"/>
  <c r="CN218" i="2"/>
  <c r="CO218" i="2"/>
  <c r="CP218" i="2"/>
  <c r="CQ218" i="2"/>
  <c r="CR218" i="2"/>
  <c r="CS218" i="2"/>
  <c r="CT218" i="2"/>
  <c r="CU218" i="2"/>
  <c r="CV218" i="2"/>
  <c r="CW218" i="2"/>
  <c r="CX218" i="2"/>
  <c r="CY218" i="2"/>
  <c r="CA219" i="2"/>
  <c r="CB219" i="2"/>
  <c r="CC219" i="2"/>
  <c r="CD219" i="2"/>
  <c r="CE219" i="2"/>
  <c r="CF219" i="2"/>
  <c r="CG219" i="2"/>
  <c r="CH219" i="2"/>
  <c r="CI219" i="2"/>
  <c r="CJ219" i="2"/>
  <c r="CK219" i="2"/>
  <c r="CL219" i="2"/>
  <c r="CM219" i="2"/>
  <c r="CN219" i="2"/>
  <c r="CO219" i="2"/>
  <c r="CP219" i="2"/>
  <c r="CQ219" i="2"/>
  <c r="CR219" i="2"/>
  <c r="CS219" i="2"/>
  <c r="CT219" i="2"/>
  <c r="CU219" i="2"/>
  <c r="CV219" i="2"/>
  <c r="CW219" i="2"/>
  <c r="CX219" i="2"/>
  <c r="CY219" i="2"/>
  <c r="CD223" i="2"/>
  <c r="CI223" i="2"/>
  <c r="CN223" i="2"/>
  <c r="CS223" i="2"/>
  <c r="CX223" i="2"/>
  <c r="CD224" i="2"/>
  <c r="CI224" i="2"/>
  <c r="CN224" i="2"/>
  <c r="CS224" i="2"/>
  <c r="CX224" i="2"/>
  <c r="CA225" i="2"/>
  <c r="CB225" i="2"/>
  <c r="CC225" i="2"/>
  <c r="CD225" i="2"/>
  <c r="CE225" i="2"/>
  <c r="CF225" i="2"/>
  <c r="CG225" i="2"/>
  <c r="CH225" i="2"/>
  <c r="CI225" i="2"/>
  <c r="CJ225" i="2"/>
  <c r="CK225" i="2"/>
  <c r="CL225" i="2"/>
  <c r="CM225" i="2"/>
  <c r="CN225" i="2"/>
  <c r="CO225" i="2"/>
  <c r="CP225" i="2"/>
  <c r="CQ225" i="2"/>
  <c r="CR225" i="2"/>
  <c r="CS225" i="2"/>
  <c r="CT225" i="2"/>
  <c r="CU225" i="2"/>
  <c r="CV225" i="2"/>
  <c r="CW225" i="2"/>
  <c r="CX225" i="2"/>
  <c r="CY225" i="2"/>
  <c r="AP265" i="2"/>
  <c r="AQ265" i="2"/>
  <c r="BJ265" i="2"/>
  <c r="BK265" i="2"/>
  <c r="BY265" i="2"/>
  <c r="BZ265" i="2"/>
  <c r="CA290" i="2"/>
  <c r="CB290" i="2"/>
  <c r="CC290" i="2"/>
  <c r="CD290" i="2"/>
  <c r="CE290" i="2"/>
  <c r="CF290" i="2"/>
  <c r="CG290" i="2"/>
  <c r="CH290" i="2"/>
  <c r="CI290" i="2"/>
  <c r="CJ290" i="2"/>
  <c r="CK290" i="2"/>
  <c r="CL290" i="2"/>
  <c r="CM290" i="2"/>
  <c r="CN290" i="2"/>
  <c r="CO290" i="2"/>
  <c r="CP290" i="2"/>
  <c r="CQ290" i="2"/>
  <c r="CR290" i="2"/>
  <c r="CS290" i="2"/>
  <c r="CT290" i="2"/>
  <c r="CU290" i="2"/>
  <c r="CV290" i="2"/>
  <c r="CW290" i="2"/>
  <c r="CX290" i="2"/>
  <c r="CY290" i="2"/>
  <c r="CA293" i="2"/>
  <c r="CB293" i="2"/>
  <c r="CC293" i="2"/>
  <c r="CD293" i="2"/>
  <c r="CE293" i="2"/>
  <c r="CF293" i="2"/>
  <c r="CG293" i="2"/>
  <c r="CH293" i="2"/>
  <c r="CI293" i="2"/>
  <c r="CJ293" i="2"/>
  <c r="CK293" i="2"/>
  <c r="CL293" i="2"/>
  <c r="CM293" i="2"/>
  <c r="CN293" i="2"/>
  <c r="CO293" i="2"/>
  <c r="CP293" i="2"/>
  <c r="CQ293" i="2"/>
  <c r="CR293" i="2"/>
  <c r="CS293" i="2"/>
  <c r="CT293" i="2"/>
  <c r="CU293" i="2"/>
  <c r="CV293" i="2"/>
  <c r="CW293" i="2"/>
  <c r="CX293" i="2"/>
  <c r="CY293" i="2"/>
  <c r="CJ295" i="2"/>
  <c r="CO295" i="2"/>
  <c r="CT295" i="2"/>
  <c r="CY295" i="2"/>
</calcChain>
</file>

<file path=xl/comments1.xml><?xml version="1.0" encoding="utf-8"?>
<comments xmlns="http://schemas.openxmlformats.org/spreadsheetml/2006/main">
  <authors>
    <author>mukeruma</author>
    <author>linalis</author>
    <author>grunke</author>
    <author>cruzv</author>
    <author>Doctor, Bob (Research)</author>
    <author>doctobob</author>
  </authors>
  <commentList>
    <comment ref="G5" authorId="0">
      <text>
        <r>
          <rPr>
            <b/>
            <sz val="8"/>
            <color indexed="8"/>
            <rFont val="tahoma"/>
            <family val="2"/>
          </rPr>
          <t>mukeruma:</t>
        </r>
        <r>
          <rPr>
            <sz val="8"/>
            <color indexed="8"/>
            <rFont val="tahoma"/>
            <family val="2"/>
          </rPr>
          <t xml:space="preserve">
excludes unusual excise tax gain of 9.185 mn</t>
        </r>
      </text>
    </comment>
    <comment ref="H5" authorId="0">
      <text>
        <r>
          <rPr>
            <b/>
            <sz val="8"/>
            <color indexed="8"/>
            <rFont val="tahoma"/>
            <family val="2"/>
          </rPr>
          <t>mukeruma:</t>
        </r>
        <r>
          <rPr>
            <sz val="8"/>
            <color indexed="8"/>
            <rFont val="tahoma"/>
            <family val="2"/>
          </rPr>
          <t xml:space="preserve">
excludes unusual excise tax gain of 9.185 mn</t>
        </r>
      </text>
    </comment>
    <comment ref="AS6" authorId="1">
      <text>
        <r>
          <rPr>
            <b/>
            <sz val="8"/>
            <color indexed="81"/>
            <rFont val="Tahoma"/>
            <family val="2"/>
          </rPr>
          <t>linalis:</t>
        </r>
        <r>
          <rPr>
            <sz val="8"/>
            <color indexed="81"/>
            <rFont val="Tahoma"/>
            <family val="2"/>
          </rPr>
          <t xml:space="preserve">
-3.7% shipment
-0.4% depletion 
Almost 3% of mix benefit</t>
        </r>
      </text>
    </comment>
    <comment ref="AW6" authorId="2">
      <text>
        <r>
          <rPr>
            <b/>
            <sz val="8"/>
            <color indexed="81"/>
            <rFont val="Tahoma"/>
            <family val="2"/>
          </rPr>
          <t>grunke:</t>
        </r>
        <r>
          <rPr>
            <sz val="8"/>
            <color indexed="81"/>
            <rFont val="Tahoma"/>
            <family val="2"/>
          </rPr>
          <t xml:space="preserve">
promo</t>
        </r>
      </text>
    </comment>
    <comment ref="AS7" authorId="1">
      <text>
        <r>
          <rPr>
            <b/>
            <sz val="8"/>
            <color indexed="81"/>
            <rFont val="Tahoma"/>
            <family val="2"/>
          </rPr>
          <t>linalis:</t>
        </r>
        <r>
          <rPr>
            <sz val="8"/>
            <color indexed="81"/>
            <rFont val="Tahoma"/>
            <family val="2"/>
          </rPr>
          <t xml:space="preserve">
Sale of Australia and UK business</t>
        </r>
      </text>
    </comment>
    <comment ref="AT7" authorId="1">
      <text>
        <r>
          <rPr>
            <b/>
            <sz val="8"/>
            <color indexed="81"/>
            <rFont val="Tahoma"/>
            <family val="2"/>
          </rPr>
          <t>linalis:</t>
        </r>
        <r>
          <rPr>
            <sz val="8"/>
            <color indexed="81"/>
            <rFont val="Tahoma"/>
            <family val="2"/>
          </rPr>
          <t xml:space="preserve">
Sale of Australia and UK business</t>
        </r>
      </text>
    </comment>
    <comment ref="AU7" authorId="1">
      <text>
        <r>
          <rPr>
            <b/>
            <sz val="8"/>
            <color indexed="81"/>
            <rFont val="Tahoma"/>
            <family val="2"/>
          </rPr>
          <t>linalis:</t>
        </r>
        <r>
          <rPr>
            <sz val="8"/>
            <color indexed="81"/>
            <rFont val="Tahoma"/>
            <family val="2"/>
          </rPr>
          <t xml:space="preserve">
Sale of Australia and UK business
Ruffino (incremental sales of $40M/yr)</t>
        </r>
      </text>
    </comment>
    <comment ref="AW7" authorId="2">
      <text>
        <r>
          <rPr>
            <b/>
            <sz val="8"/>
            <color indexed="81"/>
            <rFont val="Tahoma"/>
            <family val="2"/>
          </rPr>
          <t>grunke:</t>
        </r>
        <r>
          <rPr>
            <sz val="8"/>
            <color indexed="81"/>
            <rFont val="Tahoma"/>
            <family val="2"/>
          </rPr>
          <t xml:space="preserve">
Ruffino</t>
        </r>
      </text>
    </comment>
    <comment ref="AX7" authorId="2">
      <text>
        <r>
          <rPr>
            <b/>
            <sz val="8"/>
            <color indexed="81"/>
            <rFont val="Tahoma"/>
            <family val="2"/>
          </rPr>
          <t>grunke:</t>
        </r>
        <r>
          <rPr>
            <sz val="8"/>
            <color indexed="81"/>
            <rFont val="Tahoma"/>
            <family val="2"/>
          </rPr>
          <t xml:space="preserve">
Ruffino +$7.3M
Mark West +$6.1M</t>
        </r>
      </text>
    </comment>
    <comment ref="AZ7" authorId="2">
      <text>
        <r>
          <rPr>
            <b/>
            <sz val="8"/>
            <color indexed="81"/>
            <rFont val="Tahoma"/>
            <family val="2"/>
          </rPr>
          <t>grunke:</t>
        </r>
        <r>
          <rPr>
            <sz val="8"/>
            <color indexed="81"/>
            <rFont val="Tahoma"/>
            <family val="2"/>
          </rPr>
          <t xml:space="preserve">
Mark West</t>
        </r>
      </text>
    </comment>
    <comment ref="BA7" authorId="2">
      <text>
        <r>
          <rPr>
            <b/>
            <sz val="8"/>
            <color indexed="81"/>
            <rFont val="Tahoma"/>
            <family val="2"/>
          </rPr>
          <t>grunke:</t>
        </r>
        <r>
          <rPr>
            <sz val="8"/>
            <color indexed="81"/>
            <rFont val="Tahoma"/>
            <family val="2"/>
          </rPr>
          <t xml:space="preserve">
Mark West $35M annualized sales</t>
        </r>
      </text>
    </comment>
    <comment ref="BB7" authorId="3">
      <text>
        <r>
          <rPr>
            <b/>
            <sz val="8"/>
            <color indexed="81"/>
            <rFont val="Tahoma"/>
            <family val="2"/>
          </rPr>
          <t>cruzv:</t>
        </r>
        <r>
          <rPr>
            <sz val="8"/>
            <color indexed="81"/>
            <rFont val="Tahoma"/>
            <family val="2"/>
          </rPr>
          <t xml:space="preserve">
Mark West</t>
        </r>
      </text>
    </comment>
    <comment ref="BC7" authorId="3">
      <text>
        <r>
          <rPr>
            <b/>
            <sz val="8"/>
            <color indexed="81"/>
            <rFont val="Tahoma"/>
            <family val="2"/>
          </rPr>
          <t>cruzv:</t>
        </r>
        <r>
          <rPr>
            <sz val="8"/>
            <color indexed="81"/>
            <rFont val="Tahoma"/>
            <family val="2"/>
          </rPr>
          <t xml:space="preserve">
Crown+Last portion from Mark West</t>
        </r>
      </text>
    </comment>
    <comment ref="BD7" authorId="3">
      <text>
        <r>
          <rPr>
            <b/>
            <sz val="8"/>
            <color indexed="81"/>
            <rFont val="Tahoma"/>
            <family val="2"/>
          </rPr>
          <t>cruzv:</t>
        </r>
        <r>
          <rPr>
            <sz val="8"/>
            <color indexed="81"/>
            <rFont val="Tahoma"/>
            <family val="2"/>
          </rPr>
          <t xml:space="preserve">
Crown</t>
        </r>
      </text>
    </comment>
    <comment ref="AB9" authorId="0">
      <text>
        <r>
          <rPr>
            <b/>
            <sz val="8"/>
            <color indexed="81"/>
            <rFont val="Tahoma"/>
            <family val="2"/>
          </rPr>
          <t>mukeruma:</t>
        </r>
        <r>
          <rPr>
            <sz val="8"/>
            <color indexed="81"/>
            <rFont val="Tahoma"/>
            <family val="2"/>
          </rPr>
          <t xml:space="preserve">
dist inventory cuts hurt sales by 110 mn</t>
        </r>
      </text>
    </comment>
    <comment ref="AG9" authorId="0">
      <text>
        <r>
          <rPr>
            <b/>
            <sz val="8"/>
            <color indexed="81"/>
            <rFont val="Tahoma"/>
            <family val="2"/>
          </rPr>
          <t>mukeruma:</t>
        </r>
        <r>
          <rPr>
            <sz val="8"/>
            <color indexed="81"/>
            <rFont val="Tahoma"/>
            <family val="2"/>
          </rPr>
          <t xml:space="preserve">
comp aided by year-ago cut of 110 mn in dist inventories</t>
        </r>
      </text>
    </comment>
    <comment ref="AT19" authorId="2">
      <text>
        <r>
          <rPr>
            <b/>
            <sz val="8"/>
            <color indexed="81"/>
            <rFont val="Tahoma"/>
            <family val="2"/>
          </rPr>
          <t>grunke:</t>
        </r>
        <r>
          <rPr>
            <sz val="8"/>
            <color indexed="81"/>
            <rFont val="Tahoma"/>
            <family val="2"/>
          </rPr>
          <t xml:space="preserve">
$7-$10M favorable 
&gt;2-3 corp line - note receivable 
&gt; favorable settlement </t>
        </r>
      </text>
    </comment>
    <comment ref="AS25" authorId="1">
      <text>
        <r>
          <rPr>
            <b/>
            <sz val="8"/>
            <color indexed="81"/>
            <rFont val="Tahoma"/>
            <family val="2"/>
          </rPr>
          <t>linalis:</t>
        </r>
        <r>
          <rPr>
            <sz val="8"/>
            <color indexed="81"/>
            <rFont val="Tahoma"/>
            <family val="2"/>
          </rPr>
          <t xml:space="preserve">
lapping higher compensation costs last year</t>
        </r>
      </text>
    </comment>
    <comment ref="AV28" authorId="2">
      <text>
        <r>
          <rPr>
            <b/>
            <sz val="8"/>
            <color indexed="81"/>
            <rFont val="Tahoma"/>
            <family val="2"/>
          </rPr>
          <t>grunke:</t>
        </r>
        <r>
          <rPr>
            <sz val="8"/>
            <color indexed="81"/>
            <rFont val="Tahoma"/>
            <family val="2"/>
          </rPr>
          <t xml:space="preserve">
STZ indicated 400-500 bps of GM (%) and OM (%) improvement on a comparable basis as a result of the sale of its Australia and UK business (80% stake, STZ retained 20%) that was completed on 1/31/2011. </t>
        </r>
      </text>
    </comment>
    <comment ref="BA29" authorId="2">
      <text>
        <r>
          <rPr>
            <b/>
            <sz val="8"/>
            <color indexed="81"/>
            <rFont val="Tahoma"/>
            <family val="2"/>
          </rPr>
          <t>grunke:</t>
        </r>
        <r>
          <rPr>
            <sz val="8"/>
            <color indexed="81"/>
            <rFont val="Tahoma"/>
            <family val="2"/>
          </rPr>
          <t xml:space="preserve">
LSD % guidance</t>
        </r>
      </text>
    </comment>
    <comment ref="BF29" authorId="2">
      <text>
        <r>
          <rPr>
            <b/>
            <sz val="8"/>
            <color indexed="81"/>
            <rFont val="Tahoma"/>
            <family val="2"/>
          </rPr>
          <t>grunke:</t>
        </r>
        <r>
          <rPr>
            <sz val="8"/>
            <color indexed="81"/>
            <rFont val="Tahoma"/>
            <family val="2"/>
          </rPr>
          <t xml:space="preserve">
LSD % guidance</t>
        </r>
      </text>
    </comment>
    <comment ref="V34" authorId="0">
      <text>
        <r>
          <rPr>
            <b/>
            <sz val="8"/>
            <color indexed="8"/>
            <rFont val="tahoma"/>
            <family val="2"/>
          </rPr>
          <t>mukeruma:</t>
        </r>
        <r>
          <rPr>
            <sz val="8"/>
            <color indexed="8"/>
            <rFont val="tahoma"/>
            <family val="2"/>
          </rPr>
          <t xml:space="preserve">
2 months worth</t>
        </r>
      </text>
    </comment>
    <comment ref="W34" authorId="0">
      <text>
        <r>
          <rPr>
            <b/>
            <sz val="8"/>
            <color indexed="8"/>
            <rFont val="tahoma"/>
            <family val="2"/>
          </rPr>
          <t>mukeruma:</t>
        </r>
        <r>
          <rPr>
            <sz val="8"/>
            <color indexed="8"/>
            <rFont val="tahoma"/>
            <family val="2"/>
          </rPr>
          <t xml:space="preserve">
2 months worth</t>
        </r>
      </text>
    </comment>
    <comment ref="BD34" authorId="3">
      <text>
        <r>
          <rPr>
            <b/>
            <sz val="8"/>
            <color indexed="81"/>
            <rFont val="Tahoma"/>
            <family val="2"/>
          </rPr>
          <t>cruzv:</t>
        </r>
        <r>
          <rPr>
            <sz val="8"/>
            <color indexed="81"/>
            <rFont val="Tahoma"/>
            <family val="2"/>
          </rPr>
          <t xml:space="preserve">
Crown now consolidated</t>
        </r>
      </text>
    </comment>
    <comment ref="AV35" authorId="2">
      <text>
        <r>
          <rPr>
            <b/>
            <sz val="8"/>
            <color indexed="81"/>
            <rFont val="Tahoma"/>
            <family val="2"/>
          </rPr>
          <t>grunke:</t>
        </r>
        <r>
          <rPr>
            <sz val="8"/>
            <color indexed="81"/>
            <rFont val="Tahoma"/>
            <family val="2"/>
          </rPr>
          <t xml:space="preserve">
part of UK business divested generated $6M in equity earnings</t>
        </r>
      </text>
    </comment>
    <comment ref="BA35" authorId="2">
      <text>
        <r>
          <rPr>
            <b/>
            <sz val="8"/>
            <color indexed="81"/>
            <rFont val="Tahoma"/>
            <family val="2"/>
          </rPr>
          <t>grunke:</t>
        </r>
        <r>
          <rPr>
            <sz val="8"/>
            <color indexed="81"/>
            <rFont val="Tahoma"/>
            <family val="2"/>
          </rPr>
          <t xml:space="preserve">
adj for Ruffino</t>
        </r>
      </text>
    </comment>
    <comment ref="BF35" authorId="2">
      <text>
        <r>
          <rPr>
            <b/>
            <sz val="8"/>
            <color indexed="81"/>
            <rFont val="Tahoma"/>
            <family val="2"/>
          </rPr>
          <t>grunke:</t>
        </r>
        <r>
          <rPr>
            <sz val="8"/>
            <color indexed="81"/>
            <rFont val="Tahoma"/>
            <family val="2"/>
          </rPr>
          <t xml:space="preserve">
adj for Ruffino</t>
        </r>
      </text>
    </comment>
    <comment ref="AS37" authorId="0">
      <text>
        <r>
          <rPr>
            <b/>
            <sz val="8"/>
            <color indexed="81"/>
            <rFont val="Tahoma"/>
            <family val="2"/>
          </rPr>
          <t>mukeruma:</t>
        </r>
        <r>
          <rPr>
            <sz val="8"/>
            <color indexed="81"/>
            <rFont val="Tahoma"/>
            <family val="2"/>
          </rPr>
          <t xml:space="preserve">
down 15-20M guidance</t>
        </r>
      </text>
    </comment>
    <comment ref="BC38" authorId="3">
      <text>
        <r>
          <rPr>
            <b/>
            <sz val="8"/>
            <color indexed="81"/>
            <rFont val="Tahoma"/>
            <family val="2"/>
          </rPr>
          <t>cruzv:</t>
        </r>
        <r>
          <rPr>
            <sz val="8"/>
            <color indexed="81"/>
            <rFont val="Tahoma"/>
            <family val="2"/>
          </rPr>
          <t xml:space="preserve">
Pro-forma including Crown</t>
        </r>
      </text>
    </comment>
    <comment ref="AT39" authorId="1">
      <text>
        <r>
          <rPr>
            <b/>
            <sz val="8"/>
            <color indexed="81"/>
            <rFont val="Tahoma"/>
            <family val="2"/>
          </rPr>
          <t>linalis:</t>
        </r>
        <r>
          <rPr>
            <sz val="8"/>
            <color indexed="81"/>
            <rFont val="Tahoma"/>
            <family val="2"/>
          </rPr>
          <t xml:space="preserve">
10.6.11: guidance down ~15-20%</t>
        </r>
      </text>
    </comment>
    <comment ref="AX39" authorId="2">
      <text>
        <r>
          <rPr>
            <b/>
            <sz val="8"/>
            <color indexed="81"/>
            <rFont val="Tahoma"/>
            <family val="2"/>
          </rPr>
          <t>grunke:</t>
        </r>
        <r>
          <rPr>
            <sz val="8"/>
            <color indexed="81"/>
            <rFont val="Tahoma"/>
            <family val="2"/>
          </rPr>
          <t xml:space="preserve">
down MSD guidance</t>
        </r>
      </text>
    </comment>
    <comment ref="AV45" authorId="2">
      <text>
        <r>
          <rPr>
            <b/>
            <sz val="8"/>
            <color indexed="81"/>
            <rFont val="Tahoma"/>
            <family val="2"/>
          </rPr>
          <t>grunke:</t>
        </r>
        <r>
          <rPr>
            <sz val="8"/>
            <color indexed="81"/>
            <rFont val="Tahoma"/>
            <family val="2"/>
          </rPr>
          <t xml:space="preserve">
1/5/2012 
$180-$185M guid</t>
        </r>
      </text>
    </comment>
    <comment ref="AZ45" authorId="2">
      <text>
        <r>
          <rPr>
            <b/>
            <sz val="8"/>
            <color indexed="81"/>
            <rFont val="Tahoma"/>
            <family val="2"/>
          </rPr>
          <t>grunke:</t>
        </r>
        <r>
          <rPr>
            <sz val="8"/>
            <color indexed="81"/>
            <rFont val="Tahoma"/>
            <family val="2"/>
          </rPr>
          <t xml:space="preserve">
includes $650M in restricted cash (currently included in other non-current assets)</t>
        </r>
      </text>
    </comment>
    <comment ref="BA45" authorId="2">
      <text>
        <r>
          <rPr>
            <b/>
            <sz val="8"/>
            <color indexed="81"/>
            <rFont val="Tahoma"/>
            <family val="2"/>
          </rPr>
          <t>grunke:</t>
        </r>
        <r>
          <rPr>
            <sz val="8"/>
            <color indexed="81"/>
            <rFont val="Tahoma"/>
            <family val="2"/>
          </rPr>
          <t xml:space="preserve">
guid $225-$235M</t>
        </r>
      </text>
    </comment>
    <comment ref="BC45" authorId="2">
      <text>
        <r>
          <rPr>
            <b/>
            <sz val="8"/>
            <color indexed="81"/>
            <rFont val="Tahoma"/>
            <family val="2"/>
          </rPr>
          <t>grunke:</t>
        </r>
        <r>
          <rPr>
            <sz val="8"/>
            <color indexed="81"/>
            <rFont val="Tahoma"/>
            <family val="2"/>
          </rPr>
          <t xml:space="preserve">
- adj to assume debt issued 6/1</t>
        </r>
      </text>
    </comment>
    <comment ref="BF45" authorId="3">
      <text>
        <r>
          <rPr>
            <b/>
            <sz val="8"/>
            <color indexed="81"/>
            <rFont val="Tahoma"/>
            <family val="2"/>
          </rPr>
          <t>cruzv:</t>
        </r>
        <r>
          <rPr>
            <sz val="8"/>
            <color indexed="81"/>
            <rFont val="Tahoma"/>
            <family val="2"/>
          </rPr>
          <t xml:space="preserve">
$325M guidance</t>
        </r>
      </text>
    </comment>
    <comment ref="BK45" authorId="4">
      <text>
        <r>
          <rPr>
            <b/>
            <sz val="9"/>
            <color indexed="81"/>
            <rFont val="Tahoma"/>
            <family val="2"/>
          </rPr>
          <t>Doctor, Bob (Research):</t>
        </r>
        <r>
          <rPr>
            <sz val="9"/>
            <color indexed="81"/>
            <rFont val="Tahoma"/>
            <family val="2"/>
          </rPr>
          <t xml:space="preserve">
345-355</t>
        </r>
      </text>
    </comment>
    <comment ref="BP45" authorId="4">
      <text>
        <r>
          <rPr>
            <b/>
            <sz val="9"/>
            <color indexed="81"/>
            <rFont val="Tahoma"/>
            <family val="2"/>
          </rPr>
          <t>Doctor, Bob (Research):</t>
        </r>
        <r>
          <rPr>
            <sz val="9"/>
            <color indexed="81"/>
            <rFont val="Tahoma"/>
            <family val="2"/>
          </rPr>
          <t xml:space="preserve">
310-320</t>
        </r>
      </text>
    </comment>
    <comment ref="BU45" authorId="4">
      <text>
        <r>
          <rPr>
            <b/>
            <sz val="9"/>
            <color indexed="81"/>
            <rFont val="Tahoma"/>
            <family val="2"/>
          </rPr>
          <t>Doctor, Bob (Research):</t>
        </r>
        <r>
          <rPr>
            <sz val="9"/>
            <color indexed="81"/>
            <rFont val="Tahoma"/>
            <family val="2"/>
          </rPr>
          <t xml:space="preserve">
335-345</t>
        </r>
      </text>
    </comment>
    <comment ref="BZ45" authorId="4">
      <text>
        <r>
          <rPr>
            <b/>
            <sz val="9"/>
            <color indexed="81"/>
            <rFont val="Tahoma"/>
            <family val="2"/>
          </rPr>
          <t xml:space="preserve">Doctor, Bob (Research):
</t>
        </r>
        <r>
          <rPr>
            <sz val="9"/>
            <color indexed="81"/>
            <rFont val="Tahoma"/>
            <family val="2"/>
          </rPr>
          <t>3Q:330-340</t>
        </r>
        <r>
          <rPr>
            <b/>
            <sz val="9"/>
            <color indexed="81"/>
            <rFont val="Tahoma"/>
            <family val="2"/>
          </rPr>
          <t xml:space="preserve">
</t>
        </r>
        <r>
          <rPr>
            <sz val="9"/>
            <color indexed="81"/>
            <rFont val="Tahoma"/>
            <family val="2"/>
          </rPr>
          <t>2Q: 330-340
1Q:340-350
340-350 (4/6/17)</t>
        </r>
      </text>
    </comment>
    <comment ref="CE45" authorId="4">
      <text>
        <r>
          <rPr>
            <b/>
            <sz val="9"/>
            <color indexed="81"/>
            <rFont val="Tahoma"/>
            <family val="2"/>
          </rPr>
          <t>Doctor, Bob (Research):</t>
        </r>
        <r>
          <rPr>
            <sz val="9"/>
            <color indexed="81"/>
            <rFont val="Tahoma"/>
            <family val="2"/>
          </rPr>
          <t xml:space="preserve">
4Q18: 355-365</t>
        </r>
      </text>
    </comment>
    <comment ref="AK52" authorId="0">
      <text>
        <r>
          <rPr>
            <b/>
            <sz val="8"/>
            <color indexed="8"/>
            <rFont val="tahoma"/>
            <family val="2"/>
          </rPr>
          <t>mukeruma:</t>
        </r>
        <r>
          <rPr>
            <sz val="8"/>
            <color indexed="8"/>
            <rFont val="tahoma"/>
            <family val="2"/>
          </rPr>
          <t xml:space="preserve">
STZ says -11% tax rate but we use ongoing.</t>
        </r>
      </text>
    </comment>
    <comment ref="AV52" authorId="2">
      <text>
        <r>
          <rPr>
            <b/>
            <sz val="8"/>
            <color indexed="81"/>
            <rFont val="Tahoma"/>
            <family val="2"/>
          </rPr>
          <t>grunke:</t>
        </r>
        <r>
          <rPr>
            <sz val="8"/>
            <color indexed="81"/>
            <rFont val="Tahoma"/>
            <family val="2"/>
          </rPr>
          <t xml:space="preserve">
1/5/2012 
27% guidance</t>
        </r>
      </text>
    </comment>
    <comment ref="BA52" authorId="2">
      <text>
        <r>
          <rPr>
            <b/>
            <sz val="8"/>
            <color indexed="81"/>
            <rFont val="Tahoma"/>
            <family val="2"/>
          </rPr>
          <t>grunke:</t>
        </r>
        <r>
          <rPr>
            <sz val="8"/>
            <color indexed="81"/>
            <rFont val="Tahoma"/>
            <family val="2"/>
          </rPr>
          <t xml:space="preserve">
27% guid</t>
        </r>
      </text>
    </comment>
    <comment ref="BF52" authorId="2">
      <text>
        <r>
          <rPr>
            <b/>
            <sz val="8"/>
            <color indexed="81"/>
            <rFont val="Tahoma"/>
            <family val="2"/>
          </rPr>
          <t>grunke:</t>
        </r>
        <r>
          <rPr>
            <sz val="8"/>
            <color indexed="81"/>
            <rFont val="Tahoma"/>
            <family val="2"/>
          </rPr>
          <t xml:space="preserve">
27% guid</t>
        </r>
      </text>
    </comment>
    <comment ref="BK52" authorId="5">
      <text>
        <r>
          <rPr>
            <b/>
            <sz val="8"/>
            <color indexed="81"/>
            <rFont val="Tahoma"/>
            <family val="2"/>
          </rPr>
          <t>doctobob:</t>
        </r>
        <r>
          <rPr>
            <sz val="8"/>
            <color indexed="81"/>
            <rFont val="Tahoma"/>
            <family val="2"/>
          </rPr>
          <t xml:space="preserve">
~30%</t>
        </r>
      </text>
    </comment>
    <comment ref="BP52" authorId="4">
      <text>
        <r>
          <rPr>
            <b/>
            <sz val="9"/>
            <color indexed="81"/>
            <rFont val="Tahoma"/>
            <family val="2"/>
          </rPr>
          <t>Doctor, Bob (Research):</t>
        </r>
        <r>
          <rPr>
            <sz val="9"/>
            <color indexed="81"/>
            <rFont val="Tahoma"/>
            <family val="2"/>
          </rPr>
          <t xml:space="preserve">
30%</t>
        </r>
      </text>
    </comment>
    <comment ref="BR52" authorId="4">
      <text>
        <r>
          <rPr>
            <b/>
            <sz val="9"/>
            <color indexed="81"/>
            <rFont val="Tahoma"/>
            <family val="2"/>
          </rPr>
          <t>Doctor, Bob (Research):</t>
        </r>
        <r>
          <rPr>
            <sz val="9"/>
            <color indexed="81"/>
            <rFont val="Tahoma"/>
            <family val="2"/>
          </rPr>
          <t xml:space="preserve">
inline with 1q</t>
        </r>
      </text>
    </comment>
    <comment ref="BU52" authorId="4">
      <text>
        <r>
          <rPr>
            <b/>
            <sz val="9"/>
            <color indexed="81"/>
            <rFont val="Tahoma"/>
            <family val="2"/>
          </rPr>
          <t>Doctor, Bob (Research):</t>
        </r>
        <r>
          <rPr>
            <sz val="9"/>
            <color indexed="81"/>
            <rFont val="Tahoma"/>
            <family val="2"/>
          </rPr>
          <t xml:space="preserve">
30%</t>
        </r>
      </text>
    </comment>
    <comment ref="BW52" authorId="4">
      <text>
        <r>
          <rPr>
            <b/>
            <sz val="9"/>
            <color indexed="81"/>
            <rFont val="Tahoma"/>
            <family val="2"/>
          </rPr>
          <t>Doctor, Bob (Research):</t>
        </r>
        <r>
          <rPr>
            <sz val="9"/>
            <color indexed="81"/>
            <rFont val="Tahoma"/>
            <family val="2"/>
          </rPr>
          <t xml:space="preserve">
24-25</t>
        </r>
      </text>
    </comment>
    <comment ref="BX52" authorId="4">
      <text>
        <r>
          <rPr>
            <b/>
            <sz val="9"/>
            <color indexed="81"/>
            <rFont val="Tahoma"/>
            <family val="2"/>
          </rPr>
          <t>Doctor, Bob (Research):</t>
        </r>
        <r>
          <rPr>
            <sz val="9"/>
            <color indexed="81"/>
            <rFont val="Tahoma"/>
            <family val="2"/>
          </rPr>
          <t xml:space="preserve">
higher than fy</t>
        </r>
      </text>
    </comment>
    <comment ref="BY52" authorId="4">
      <text>
        <r>
          <rPr>
            <b/>
            <sz val="9"/>
            <color indexed="81"/>
            <rFont val="Tahoma"/>
            <family val="2"/>
          </rPr>
          <t>Doctor, Bob (Research):</t>
        </r>
        <r>
          <rPr>
            <sz val="9"/>
            <color indexed="81"/>
            <rFont val="Tahoma"/>
            <family val="2"/>
          </rPr>
          <t xml:space="preserve">
inline fiscasl year</t>
        </r>
      </text>
    </comment>
    <comment ref="BZ52" authorId="4">
      <text>
        <r>
          <rPr>
            <b/>
            <sz val="9"/>
            <color indexed="81"/>
            <rFont val="Tahoma"/>
            <family val="2"/>
          </rPr>
          <t>Doctor, Bob (Research):</t>
        </r>
        <r>
          <rPr>
            <sz val="9"/>
            <color indexed="81"/>
            <rFont val="Tahoma"/>
            <family val="2"/>
          </rPr>
          <t xml:space="preserve">
3Q: 20%
2Q: 21%
1Q:22%
22% (4/6/17)</t>
        </r>
      </text>
    </comment>
    <comment ref="CE52" authorId="4">
      <text>
        <r>
          <rPr>
            <b/>
            <sz val="9"/>
            <color indexed="81"/>
            <rFont val="Tahoma"/>
            <family val="2"/>
          </rPr>
          <t>Doctor, Bob (Research):</t>
        </r>
        <r>
          <rPr>
            <sz val="9"/>
            <color indexed="81"/>
            <rFont val="Tahoma"/>
            <family val="2"/>
          </rPr>
          <t xml:space="preserve">
4Q18: 19%</t>
        </r>
      </text>
    </comment>
    <comment ref="BZ56" authorId="4">
      <text>
        <r>
          <rPr>
            <b/>
            <sz val="9"/>
            <color indexed="81"/>
            <rFont val="Tahoma"/>
            <family val="2"/>
          </rPr>
          <t>Doctor, Bob (Research):</t>
        </r>
        <r>
          <rPr>
            <sz val="9"/>
            <color indexed="81"/>
            <rFont val="Tahoma"/>
            <family val="2"/>
          </rPr>
          <t xml:space="preserve">
3Q:10-15
2Q:10-15mm
10mm</t>
        </r>
      </text>
    </comment>
    <comment ref="AL60" authorId="0">
      <text>
        <r>
          <rPr>
            <b/>
            <sz val="8"/>
            <color indexed="8"/>
            <rFont val="tahoma"/>
            <family val="2"/>
          </rPr>
          <t>mukeruma:</t>
        </r>
        <r>
          <rPr>
            <sz val="8"/>
            <color indexed="8"/>
            <rFont val="tahoma"/>
            <family val="2"/>
          </rPr>
          <t xml:space="preserve">
guidance: $1.60-1.70</t>
        </r>
      </text>
    </comment>
    <comment ref="AV60" authorId="2">
      <text>
        <r>
          <rPr>
            <b/>
            <sz val="8"/>
            <color indexed="81"/>
            <rFont val="Tahoma"/>
            <family val="2"/>
          </rPr>
          <t>grunke:</t>
        </r>
        <r>
          <rPr>
            <sz val="8"/>
            <color indexed="81"/>
            <rFont val="Tahoma"/>
            <family val="2"/>
          </rPr>
          <t xml:space="preserve">
1/5/2012 
$2.00-$2.10 guid</t>
        </r>
      </text>
    </comment>
    <comment ref="BA60" authorId="2">
      <text>
        <r>
          <rPr>
            <b/>
            <sz val="8"/>
            <color indexed="81"/>
            <rFont val="Tahoma"/>
            <family val="2"/>
          </rPr>
          <t>grunke:</t>
        </r>
        <r>
          <rPr>
            <sz val="8"/>
            <color indexed="81"/>
            <rFont val="Tahoma"/>
            <family val="2"/>
          </rPr>
          <t xml:space="preserve">
$2.10-$2.20 guid</t>
        </r>
      </text>
    </comment>
    <comment ref="BF60" authorId="3">
      <text>
        <r>
          <rPr>
            <b/>
            <sz val="8"/>
            <color indexed="81"/>
            <rFont val="Tahoma"/>
            <family val="2"/>
          </rPr>
          <t>cruzv:</t>
        </r>
        <r>
          <rPr>
            <sz val="8"/>
            <color indexed="81"/>
            <rFont val="Tahoma"/>
            <family val="2"/>
          </rPr>
          <t xml:space="preserve">
$3.10-$3.20, up from $2.80-$3.10</t>
        </r>
      </text>
    </comment>
    <comment ref="BK60" authorId="4">
      <text>
        <r>
          <rPr>
            <b/>
            <sz val="9"/>
            <color indexed="81"/>
            <rFont val="Tahoma"/>
            <family val="2"/>
          </rPr>
          <t>Doctor, Bob (Research):</t>
        </r>
        <r>
          <rPr>
            <sz val="9"/>
            <color indexed="81"/>
            <rFont val="Tahoma"/>
            <family val="2"/>
          </rPr>
          <t xml:space="preserve">
4.25-4.35</t>
        </r>
      </text>
    </comment>
    <comment ref="BP60" authorId="4">
      <text>
        <r>
          <rPr>
            <b/>
            <sz val="9"/>
            <color indexed="81"/>
            <rFont val="Tahoma"/>
            <family val="2"/>
          </rPr>
          <t>Doctor, Bob (Research):</t>
        </r>
        <r>
          <rPr>
            <sz val="9"/>
            <color indexed="81"/>
            <rFont val="Tahoma"/>
            <family val="2"/>
          </rPr>
          <t xml:space="preserve">
5.30-5.40</t>
        </r>
      </text>
    </comment>
    <comment ref="BU60" authorId="4">
      <text>
        <r>
          <rPr>
            <b/>
            <sz val="9"/>
            <color indexed="81"/>
            <rFont val="Tahoma"/>
            <family val="2"/>
          </rPr>
          <t>Doctor, Bob (Research):</t>
        </r>
        <r>
          <rPr>
            <sz val="9"/>
            <color indexed="81"/>
            <rFont val="Tahoma"/>
            <family val="2"/>
          </rPr>
          <t xml:space="preserve">
6.55-6.65</t>
        </r>
      </text>
    </comment>
    <comment ref="BZ60" authorId="4">
      <text>
        <r>
          <rPr>
            <b/>
            <sz val="9"/>
            <color indexed="81"/>
            <rFont val="Tahoma"/>
            <family val="2"/>
          </rPr>
          <t>Doctor, Bob (Research):</t>
        </r>
        <r>
          <rPr>
            <sz val="9"/>
            <color indexed="81"/>
            <rFont val="Tahoma"/>
            <family val="2"/>
          </rPr>
          <t xml:space="preserve">
3Q:8.40-8.50
2Q: 8.25-8.40
1Q: 7.90-8.10
7.70-8.00
</t>
        </r>
      </text>
    </comment>
    <comment ref="CE60" authorId="4">
      <text>
        <r>
          <rPr>
            <b/>
            <sz val="9"/>
            <color indexed="81"/>
            <rFont val="Tahoma"/>
            <family val="2"/>
          </rPr>
          <t>Doctor, Bob (Research):</t>
        </r>
        <r>
          <rPr>
            <sz val="9"/>
            <color indexed="81"/>
            <rFont val="Tahoma"/>
            <family val="2"/>
          </rPr>
          <t xml:space="preserve">
4Q18: 9.40-9.70</t>
        </r>
      </text>
    </comment>
    <comment ref="BU64" authorId="4">
      <text>
        <r>
          <rPr>
            <b/>
            <sz val="9"/>
            <color indexed="81"/>
            <rFont val="Tahoma"/>
            <family val="2"/>
          </rPr>
          <t>Doctor, Bob (Research):</t>
        </r>
        <r>
          <rPr>
            <sz val="9"/>
            <color indexed="81"/>
            <rFont val="Tahoma"/>
            <family val="2"/>
          </rPr>
          <t xml:space="preserve">
low 20s cash tax rate</t>
        </r>
      </text>
    </comment>
    <comment ref="D70" authorId="0">
      <text>
        <r>
          <rPr>
            <b/>
            <sz val="8"/>
            <color indexed="8"/>
            <rFont val="tahoma"/>
            <family val="2"/>
          </rPr>
          <t>mukeruma:</t>
        </r>
        <r>
          <rPr>
            <sz val="8"/>
            <color indexed="8"/>
            <rFont val="tahoma"/>
            <family val="2"/>
          </rPr>
          <t xml:space="preserve">
 restructuring charges</t>
        </r>
      </text>
    </comment>
    <comment ref="E70" authorId="0">
      <text>
        <r>
          <rPr>
            <b/>
            <sz val="8"/>
            <color indexed="8"/>
            <rFont val="tahoma"/>
            <family val="2"/>
          </rPr>
          <t>mukeruma:</t>
        </r>
        <r>
          <rPr>
            <sz val="8"/>
            <color indexed="8"/>
            <rFont val="tahoma"/>
            <family val="2"/>
          </rPr>
          <t xml:space="preserve">
 restructuring charges</t>
        </r>
      </text>
    </comment>
    <comment ref="F70" authorId="0">
      <text>
        <r>
          <rPr>
            <b/>
            <sz val="8"/>
            <color indexed="8"/>
            <rFont val="tahoma"/>
            <family val="2"/>
          </rPr>
          <t>mukeruma:</t>
        </r>
        <r>
          <rPr>
            <sz val="8"/>
            <color indexed="8"/>
            <rFont val="tahoma"/>
            <family val="2"/>
          </rPr>
          <t xml:space="preserve">
 restructuring charges</t>
        </r>
      </text>
    </comment>
    <comment ref="G70" authorId="0">
      <text>
        <r>
          <rPr>
            <b/>
            <sz val="8"/>
            <color indexed="8"/>
            <rFont val="tahoma"/>
            <family val="2"/>
          </rPr>
          <t>mukeruma:</t>
        </r>
        <r>
          <rPr>
            <sz val="8"/>
            <color indexed="8"/>
            <rFont val="tahoma"/>
            <family val="2"/>
          </rPr>
          <t xml:space="preserve">
 restructuring charges</t>
        </r>
      </text>
    </comment>
    <comment ref="H70" authorId="0">
      <text>
        <r>
          <rPr>
            <b/>
            <sz val="8"/>
            <color indexed="8"/>
            <rFont val="tahoma"/>
            <family val="2"/>
          </rPr>
          <t>mukeruma:</t>
        </r>
        <r>
          <rPr>
            <sz val="8"/>
            <color indexed="8"/>
            <rFont val="tahoma"/>
            <family val="2"/>
          </rPr>
          <t xml:space="preserve">
 restructuring charges</t>
        </r>
      </text>
    </comment>
    <comment ref="I70" authorId="0">
      <text>
        <r>
          <rPr>
            <b/>
            <sz val="8"/>
            <color indexed="8"/>
            <rFont val="tahoma"/>
            <family val="2"/>
          </rPr>
          <t>mukeruma:</t>
        </r>
        <r>
          <rPr>
            <sz val="8"/>
            <color indexed="8"/>
            <rFont val="tahoma"/>
            <family val="2"/>
          </rPr>
          <t xml:space="preserve">
 restructuring charges</t>
        </r>
      </text>
    </comment>
    <comment ref="J70" authorId="0">
      <text>
        <r>
          <rPr>
            <b/>
            <sz val="8"/>
            <color indexed="8"/>
            <rFont val="tahoma"/>
            <family val="2"/>
          </rPr>
          <t>mukeruma:</t>
        </r>
        <r>
          <rPr>
            <sz val="8"/>
            <color indexed="8"/>
            <rFont val="tahoma"/>
            <family val="2"/>
          </rPr>
          <t xml:space="preserve">
 restructuring charges</t>
        </r>
      </text>
    </comment>
    <comment ref="K70" authorId="0">
      <text>
        <r>
          <rPr>
            <b/>
            <sz val="8"/>
            <color indexed="8"/>
            <rFont val="tahoma"/>
            <family val="2"/>
          </rPr>
          <t>mukeruma:</t>
        </r>
        <r>
          <rPr>
            <sz val="8"/>
            <color indexed="8"/>
            <rFont val="tahoma"/>
            <family val="2"/>
          </rPr>
          <t xml:space="preserve">
 restructuring charges</t>
        </r>
      </text>
    </comment>
    <comment ref="L70" authorId="0">
      <text>
        <r>
          <rPr>
            <b/>
            <sz val="8"/>
            <color indexed="8"/>
            <rFont val="tahoma"/>
            <family val="2"/>
          </rPr>
          <t>mukeruma:</t>
        </r>
        <r>
          <rPr>
            <sz val="8"/>
            <color indexed="8"/>
            <rFont val="tahoma"/>
            <family val="2"/>
          </rPr>
          <t xml:space="preserve">
acquisition related integration costs and restructuring charges</t>
        </r>
      </text>
    </comment>
    <comment ref="M70" authorId="0">
      <text>
        <r>
          <rPr>
            <b/>
            <sz val="8"/>
            <color indexed="8"/>
            <rFont val="tahoma"/>
            <family val="2"/>
          </rPr>
          <t>mukeruma:</t>
        </r>
        <r>
          <rPr>
            <sz val="8"/>
            <color indexed="8"/>
            <rFont val="tahoma"/>
            <family val="2"/>
          </rPr>
          <t xml:space="preserve">
acquisition related integration costs and restructuring charges</t>
        </r>
      </text>
    </comment>
    <comment ref="AP70" authorId="2">
      <text>
        <r>
          <rPr>
            <b/>
            <sz val="8"/>
            <color indexed="81"/>
            <rFont val="Tahoma"/>
            <family val="2"/>
          </rPr>
          <t>grunke:</t>
        </r>
        <r>
          <rPr>
            <sz val="8"/>
            <color indexed="81"/>
            <rFont val="Tahoma"/>
            <family val="2"/>
          </rPr>
          <t xml:space="preserve">
sales of UK/Australia businesses</t>
        </r>
      </text>
    </comment>
    <comment ref="D71" authorId="0">
      <text>
        <r>
          <rPr>
            <b/>
            <sz val="8"/>
            <color indexed="8"/>
            <rFont val="tahoma"/>
            <family val="2"/>
          </rPr>
          <t>mukeruma:</t>
        </r>
        <r>
          <rPr>
            <sz val="8"/>
            <color indexed="8"/>
            <rFont val="tahoma"/>
            <family val="2"/>
          </rPr>
          <t xml:space="preserve">
financing costs, imputed interest charge, gain on derivative instruments.</t>
        </r>
      </text>
    </comment>
    <comment ref="E71" authorId="0">
      <text>
        <r>
          <rPr>
            <b/>
            <sz val="8"/>
            <color indexed="8"/>
            <rFont val="tahoma"/>
            <family val="2"/>
          </rPr>
          <t>mukeruma:</t>
        </r>
        <r>
          <rPr>
            <sz val="8"/>
            <color indexed="8"/>
            <rFont val="tahoma"/>
            <family val="2"/>
          </rPr>
          <t xml:space="preserve">
financing costs and concentrate inventory write down</t>
        </r>
      </text>
    </comment>
    <comment ref="F71" authorId="0">
      <text>
        <r>
          <rPr>
            <b/>
            <sz val="8"/>
            <color indexed="8"/>
            <rFont val="tahoma"/>
            <family val="2"/>
          </rPr>
          <t>mukeruma:</t>
        </r>
        <r>
          <rPr>
            <sz val="8"/>
            <color indexed="8"/>
            <rFont val="tahoma"/>
            <family val="2"/>
          </rPr>
          <t xml:space="preserve">
financing costs</t>
        </r>
      </text>
    </comment>
    <comment ref="G71" authorId="0">
      <text>
        <r>
          <rPr>
            <b/>
            <sz val="8"/>
            <color indexed="8"/>
            <rFont val="tahoma"/>
            <family val="2"/>
          </rPr>
          <t>mukeruma:</t>
        </r>
        <r>
          <rPr>
            <sz val="8"/>
            <color indexed="8"/>
            <rFont val="tahoma"/>
            <family val="2"/>
          </rPr>
          <t xml:space="preserve">
Unusual excise tax benefit</t>
        </r>
      </text>
    </comment>
    <comment ref="H71" authorId="0">
      <text>
        <r>
          <rPr>
            <b/>
            <sz val="8"/>
            <color indexed="8"/>
            <rFont val="tahoma"/>
            <family val="2"/>
          </rPr>
          <t>mukeruma:</t>
        </r>
        <r>
          <rPr>
            <sz val="8"/>
            <color indexed="8"/>
            <rFont val="tahoma"/>
            <family val="2"/>
          </rPr>
          <t xml:space="preserve">
Unusual excise tax benefit, financing cost, concentrate inventory write down, imputed interest charge, gain on derivative instruments.</t>
        </r>
      </text>
    </comment>
    <comment ref="I71" authorId="0">
      <text>
        <r>
          <rPr>
            <b/>
            <sz val="8"/>
            <color indexed="8"/>
            <rFont val="tahoma"/>
            <family val="2"/>
          </rPr>
          <t>mukeruma:</t>
        </r>
        <r>
          <rPr>
            <sz val="8"/>
            <color indexed="8"/>
            <rFont val="tahoma"/>
            <family val="2"/>
          </rPr>
          <t xml:space="preserve">
financing charges</t>
        </r>
      </text>
    </comment>
    <comment ref="L71" authorId="0">
      <text>
        <r>
          <rPr>
            <b/>
            <sz val="8"/>
            <color indexed="8"/>
            <rFont val="tahoma"/>
            <family val="2"/>
          </rPr>
          <t>mukeruma:</t>
        </r>
        <r>
          <rPr>
            <sz val="8"/>
            <color indexed="8"/>
            <rFont val="tahoma"/>
            <family val="2"/>
          </rPr>
          <t xml:space="preserve">
financing charges, gain on sale of assets</t>
        </r>
      </text>
    </comment>
    <comment ref="M71" authorId="0">
      <text>
        <r>
          <rPr>
            <b/>
            <sz val="8"/>
            <color indexed="8"/>
            <rFont val="tahoma"/>
            <family val="2"/>
          </rPr>
          <t>mukeruma:</t>
        </r>
        <r>
          <rPr>
            <sz val="8"/>
            <color indexed="8"/>
            <rFont val="tahoma"/>
            <family val="2"/>
          </rPr>
          <t xml:space="preserve">
financing charges, gain on sale of assets</t>
        </r>
      </text>
    </comment>
    <comment ref="N71" authorId="0">
      <text>
        <r>
          <rPr>
            <b/>
            <sz val="8"/>
            <color indexed="8"/>
            <rFont val="tahoma"/>
            <family val="2"/>
          </rPr>
          <t>mukeruma:</t>
        </r>
        <r>
          <rPr>
            <sz val="8"/>
            <color indexed="8"/>
            <rFont val="tahoma"/>
            <family val="2"/>
          </rPr>
          <t xml:space="preserve">
A non-cash reduction in provision for income taxes as a result of adjustments to income tax accruals in connection with the completion of various income tax examinations
        during the three months ended May 31, 2005.</t>
        </r>
      </text>
    </comment>
    <comment ref="S71" authorId="0">
      <text>
        <r>
          <rPr>
            <b/>
            <sz val="8"/>
            <color indexed="8"/>
            <rFont val="tahoma"/>
            <family val="2"/>
          </rPr>
          <t>mukeruma:</t>
        </r>
        <r>
          <rPr>
            <sz val="8"/>
            <color indexed="8"/>
            <rFont val="tahoma"/>
            <family val="2"/>
          </rPr>
          <t xml:space="preserve">
Mark to market adjustment related to fx fwd contract in connection with Vincor</t>
        </r>
      </text>
    </comment>
    <comment ref="AA71" authorId="0">
      <text>
        <r>
          <rPr>
            <b/>
            <sz val="8"/>
            <color indexed="8"/>
            <rFont val="tahoma"/>
            <family val="2"/>
          </rPr>
          <t>mukeruma:</t>
        </r>
        <r>
          <rPr>
            <sz val="8"/>
            <color indexed="8"/>
            <rFont val="tahoma"/>
            <family val="2"/>
          </rPr>
          <t xml:space="preserve">
Other consists primarily of (i) an impairment of goodwill and intangible assets of $796.4 million, net of a tax benefit of $8.4 million, (ii) an impairment of equity method investment of $15.1 million, net of a tax benefit of $0.0 million, and (iii) a valuation allowance against net operating loss carryforwards in Australia of $51.7 million, partially offset by (iv) a tax benefit related to prior years stock option exercises of $10.0 million.
</t>
        </r>
      </text>
    </comment>
    <comment ref="AB71" authorId="0">
      <text>
        <r>
          <rPr>
            <b/>
            <sz val="8"/>
            <color indexed="8"/>
            <rFont val="tahoma"/>
            <family val="2"/>
          </rPr>
          <t>mukeruma:</t>
        </r>
        <r>
          <rPr>
            <sz val="8"/>
            <color indexed="8"/>
            <rFont val="tahoma"/>
            <family val="2"/>
          </rPr>
          <t xml:space="preserve">
Other consists of (i) an impairment of goodwill and intangible assets of $796.4 million, net of a tax benefit of $8.4 million, (ii) an impairment of equity method investment of $15.1 million, net of a tax benefit of $0.0 million, and (iii) a valuation allowance against net operating loss carryforwards in Australia of $51.7 million, partially offset by (iv) a tax benefit related to prior years stock option exercises of $10.0 million.</t>
        </r>
      </text>
    </comment>
    <comment ref="AF71" authorId="0">
      <text>
        <r>
          <rPr>
            <b/>
            <sz val="8"/>
            <color indexed="8"/>
            <rFont val="tahoma"/>
            <family val="2"/>
          </rPr>
          <t>mukeruma:</t>
        </r>
        <r>
          <rPr>
            <sz val="8"/>
            <color indexed="8"/>
            <rFont val="tahoma"/>
            <family val="2"/>
          </rPr>
          <t xml:space="preserve">
Other consists of (i) an impairment of goodwill and intangible assets of $271.6 million, net of a tax benefit of $6.6 million, (ii) an impairment of equity method investments of $79.2 million, net of a tax benefit of $0.0 million, and a loss on the adjustment of certain inventory, primarily Australian, related to prior years of $32.1 million, net of a tax benefit of $4.9 million. </t>
        </r>
      </text>
    </comment>
    <comment ref="AG71" authorId="0">
      <text>
        <r>
          <rPr>
            <b/>
            <sz val="8"/>
            <color indexed="8"/>
            <rFont val="tahoma"/>
            <family val="2"/>
          </rPr>
          <t>mukeruma:</t>
        </r>
        <r>
          <rPr>
            <sz val="8"/>
            <color indexed="8"/>
            <rFont val="tahoma"/>
            <family val="2"/>
          </rPr>
          <t xml:space="preserve">
Other consists of (i) an impairment of goodwill and intangible assets of $271.6 million, net of a tax benefit of $6.6 million, (ii) impairments of equity method investments of $83.3 million, net of a tax benefit of $0.0 million, (iii) $38.7 million associated with the recognition of income tax expense in connection with the gain on settlement of certain foreign currency economic hedges and (iv) a loss on the adjustment of certain inventory, primarily Australian, related to prior years of $32.1 million, net of a tax benefit of $4.9 million.</t>
        </r>
      </text>
    </comment>
    <comment ref="AJ71" authorId="0">
      <text>
        <r>
          <rPr>
            <b/>
            <sz val="8"/>
            <color indexed="81"/>
            <rFont val="Tahoma"/>
            <family val="2"/>
          </rPr>
          <t>mukeruma:</t>
        </r>
        <r>
          <rPr>
            <sz val="8"/>
            <color indexed="81"/>
            <rFont val="Tahoma"/>
            <family val="2"/>
          </rPr>
          <t xml:space="preserve">
Loss of $34.3 million, net of a tax benefit of $0.0 million, on the contractual obligation created by the notification by the 9.9% shareholder of Ruffino to exercise the option to put its entire equity interest in Ruffino to the Company for a specified minimum value, and $25.4 million, net of a tax benefit of $0.0 million, associated with the impairment of the Company's investment in Ruffino.</t>
        </r>
      </text>
    </comment>
    <comment ref="AM71" authorId="0">
      <text>
        <r>
          <rPr>
            <b/>
            <sz val="8"/>
            <color indexed="81"/>
            <rFont val="Tahoma"/>
            <family val="2"/>
          </rPr>
          <t>mukeruma:</t>
        </r>
        <r>
          <rPr>
            <sz val="8"/>
            <color indexed="81"/>
            <rFont val="Tahoma"/>
            <family val="2"/>
          </rPr>
          <t xml:space="preserve">
Valuation allowance against deferred tax assets in the U.K. of $28.1 million. Plus, adjusting for reported vs. comparable tax rate</t>
        </r>
      </text>
    </comment>
    <comment ref="AP71" authorId="2">
      <text>
        <r>
          <rPr>
            <b/>
            <sz val="8"/>
            <color indexed="81"/>
            <rFont val="Tahoma"/>
            <family val="2"/>
          </rPr>
          <t xml:space="preserve">grunke:
</t>
        </r>
        <r>
          <rPr>
            <sz val="8"/>
            <color indexed="81"/>
            <rFont val="Tahoma"/>
            <family val="2"/>
          </rPr>
          <t>Ruffino contract loss of $60M pre-tax and impairment charge on certain intangibles</t>
        </r>
      </text>
    </comment>
    <comment ref="AR71" authorId="2">
      <text>
        <r>
          <rPr>
            <b/>
            <sz val="8"/>
            <color indexed="81"/>
            <rFont val="Tahoma"/>
            <family val="2"/>
          </rPr>
          <t>grunke:</t>
        </r>
        <r>
          <rPr>
            <sz val="8"/>
            <color indexed="81"/>
            <rFont val="Tahoma"/>
            <family val="2"/>
          </rPr>
          <t xml:space="preserve">
restructuring </t>
        </r>
      </text>
    </comment>
    <comment ref="AS71" authorId="2">
      <text>
        <r>
          <rPr>
            <b/>
            <sz val="8"/>
            <color indexed="81"/>
            <rFont val="Tahoma"/>
            <family val="2"/>
          </rPr>
          <t>grunke:</t>
        </r>
        <r>
          <rPr>
            <sz val="8"/>
            <color indexed="81"/>
            <rFont val="Tahoma"/>
            <family val="2"/>
          </rPr>
          <t xml:space="preserve">
strategic business realignment</t>
        </r>
      </text>
    </comment>
    <comment ref="BA78" authorId="2">
      <text>
        <r>
          <rPr>
            <b/>
            <sz val="8"/>
            <color indexed="81"/>
            <rFont val="Tahoma"/>
            <family val="2"/>
          </rPr>
          <t>grunke:</t>
        </r>
        <r>
          <rPr>
            <sz val="8"/>
            <color indexed="81"/>
            <rFont val="Tahoma"/>
            <family val="2"/>
          </rPr>
          <t xml:space="preserve">
guid 190M</t>
        </r>
      </text>
    </comment>
    <comment ref="BF78" authorId="3">
      <text>
        <r>
          <rPr>
            <b/>
            <sz val="8"/>
            <color indexed="81"/>
            <rFont val="Tahoma"/>
            <family val="2"/>
          </rPr>
          <t>cruzv:</t>
        </r>
        <r>
          <rPr>
            <sz val="8"/>
            <color indexed="81"/>
            <rFont val="Tahoma"/>
            <family val="2"/>
          </rPr>
          <t xml:space="preserve">
198M guidance</t>
        </r>
      </text>
    </comment>
    <comment ref="BK78" authorId="4">
      <text>
        <r>
          <rPr>
            <b/>
            <sz val="9"/>
            <color indexed="81"/>
            <rFont val="Tahoma"/>
            <family val="2"/>
          </rPr>
          <t>Doctor, Bob (Research):</t>
        </r>
        <r>
          <rPr>
            <sz val="9"/>
            <color indexed="81"/>
            <rFont val="Tahoma"/>
            <family val="2"/>
          </rPr>
          <t xml:space="preserve">
201 guide</t>
        </r>
      </text>
    </comment>
    <comment ref="BP78" authorId="4">
      <text>
        <r>
          <rPr>
            <b/>
            <sz val="9"/>
            <color indexed="81"/>
            <rFont val="Tahoma"/>
            <family val="2"/>
          </rPr>
          <t>Doctor, Bob (Research):</t>
        </r>
        <r>
          <rPr>
            <sz val="9"/>
            <color indexed="81"/>
            <rFont val="Tahoma"/>
            <family val="2"/>
          </rPr>
          <t xml:space="preserve">
204</t>
        </r>
      </text>
    </comment>
    <comment ref="CE78" authorId="4">
      <text>
        <r>
          <rPr>
            <b/>
            <sz val="9"/>
            <color indexed="81"/>
            <rFont val="Tahoma"/>
            <family val="2"/>
          </rPr>
          <t>Doctor, Bob (Research):</t>
        </r>
        <r>
          <rPr>
            <sz val="9"/>
            <color indexed="81"/>
            <rFont val="Tahoma"/>
            <family val="2"/>
          </rPr>
          <t xml:space="preserve">
4Q: 197 - no  repos assumed</t>
        </r>
      </text>
    </comment>
    <comment ref="BU87" authorId="4">
      <text>
        <r>
          <rPr>
            <b/>
            <sz val="9"/>
            <color indexed="81"/>
            <rFont val="Tahoma"/>
            <family val="2"/>
          </rPr>
          <t>Doctor, Bob (Research):</t>
        </r>
        <r>
          <rPr>
            <sz val="9"/>
            <color indexed="81"/>
            <rFont val="Tahoma"/>
            <family val="2"/>
          </rPr>
          <t xml:space="preserve">
204.5</t>
        </r>
      </text>
    </comment>
    <comment ref="BZ87" authorId="4">
      <text>
        <r>
          <rPr>
            <b/>
            <sz val="9"/>
            <color indexed="81"/>
            <rFont val="Tahoma"/>
            <family val="2"/>
          </rPr>
          <t>Doctor, Bob (Research):</t>
        </r>
        <r>
          <rPr>
            <sz val="9"/>
            <color indexed="81"/>
            <rFont val="Tahoma"/>
            <family val="2"/>
          </rPr>
          <t xml:space="preserve">
3Q: R
2Q: 201
201 (4/6/17)</t>
        </r>
      </text>
    </comment>
    <comment ref="AX93" authorId="2">
      <text>
        <r>
          <rPr>
            <b/>
            <sz val="8"/>
            <color indexed="81"/>
            <rFont val="Tahoma"/>
            <family val="2"/>
          </rPr>
          <t>grunke:</t>
        </r>
        <r>
          <rPr>
            <sz val="8"/>
            <color indexed="81"/>
            <rFont val="Tahoma"/>
            <family val="2"/>
          </rPr>
          <t xml:space="preserve">
includes $650M in restricted cash, which STZ records in LT assets</t>
        </r>
      </text>
    </comment>
    <comment ref="BC100" authorId="3">
      <text>
        <r>
          <rPr>
            <b/>
            <sz val="8"/>
            <color indexed="81"/>
            <rFont val="Tahoma"/>
            <family val="2"/>
          </rPr>
          <t>cruzv:</t>
        </r>
        <r>
          <rPr>
            <sz val="8"/>
            <color indexed="81"/>
            <rFont val="Tahoma"/>
            <family val="2"/>
          </rPr>
          <t xml:space="preserve">
Crown/Piedras Negras deal, restricted cash balance from 1Q14 is reflected here a well</t>
        </r>
      </text>
    </comment>
    <comment ref="AU101" authorId="2">
      <text>
        <r>
          <rPr>
            <b/>
            <sz val="8"/>
            <color indexed="81"/>
            <rFont val="Tahoma"/>
            <family val="2"/>
          </rPr>
          <t>grunke:</t>
        </r>
        <r>
          <rPr>
            <sz val="8"/>
            <color indexed="81"/>
            <rFont val="Tahoma"/>
            <family val="2"/>
          </rPr>
          <t xml:space="preserve">
cash tax benefit</t>
        </r>
      </text>
    </comment>
    <comment ref="AX101" authorId="2">
      <text>
        <r>
          <rPr>
            <b/>
            <sz val="8"/>
            <color indexed="81"/>
            <rFont val="Tahoma"/>
            <family val="2"/>
          </rPr>
          <t>grunke:</t>
        </r>
        <r>
          <rPr>
            <sz val="8"/>
            <color indexed="81"/>
            <rFont val="Tahoma"/>
            <family val="2"/>
          </rPr>
          <t xml:space="preserve">
includes $650M in restricted cash, which STZ records in LT assets</t>
        </r>
      </text>
    </comment>
    <comment ref="AY101" authorId="2">
      <text>
        <r>
          <rPr>
            <b/>
            <sz val="8"/>
            <color indexed="81"/>
            <rFont val="Tahoma"/>
            <family val="2"/>
          </rPr>
          <t>grunke:</t>
        </r>
        <r>
          <rPr>
            <sz val="8"/>
            <color indexed="81"/>
            <rFont val="Tahoma"/>
            <family val="2"/>
          </rPr>
          <t xml:space="preserve">
includes $650M in restricted cash, which STZ records in LT assets</t>
        </r>
      </text>
    </comment>
    <comment ref="BB101" authorId="3">
      <text>
        <r>
          <rPr>
            <b/>
            <sz val="8"/>
            <color indexed="81"/>
            <rFont val="Tahoma"/>
            <family val="2"/>
          </rPr>
          <t>cruzv:</t>
        </r>
        <r>
          <rPr>
            <sz val="8"/>
            <color indexed="81"/>
            <rFont val="Tahoma"/>
            <family val="2"/>
          </rPr>
          <t xml:space="preserve">
$1550 restricted cash balance from Crown deal borrowings</t>
        </r>
      </text>
    </comment>
    <comment ref="BC111" authorId="3">
      <text>
        <r>
          <rPr>
            <b/>
            <sz val="8"/>
            <color indexed="81"/>
            <rFont val="Tahoma"/>
            <family val="2"/>
          </rPr>
          <t>cruzv:</t>
        </r>
        <r>
          <rPr>
            <sz val="8"/>
            <color indexed="81"/>
            <rFont val="Tahoma"/>
            <family val="2"/>
          </rPr>
          <t xml:space="preserve">
Incremental debt to finance Crown/Piedras</t>
        </r>
      </text>
    </comment>
    <comment ref="BI111" authorId="4">
      <text>
        <r>
          <rPr>
            <b/>
            <sz val="9"/>
            <color indexed="81"/>
            <rFont val="Tahoma"/>
            <family val="2"/>
          </rPr>
          <t>Doctor, Bob (Research):</t>
        </r>
        <r>
          <rPr>
            <sz val="9"/>
            <color indexed="81"/>
            <rFont val="Tahoma"/>
            <family val="2"/>
          </rPr>
          <t xml:space="preserve">
500M note due dec 2014 likely to refi</t>
        </r>
      </text>
    </comment>
    <comment ref="BS111" authorId="0">
      <text>
        <r>
          <rPr>
            <sz val="8"/>
            <color indexed="8"/>
            <rFont val="tahoma"/>
            <family val="2"/>
          </rPr>
          <t xml:space="preserve">
600M @ 3.7%</t>
        </r>
      </text>
    </comment>
    <comment ref="BV111" authorId="4">
      <text>
        <r>
          <rPr>
            <b/>
            <sz val="9"/>
            <color indexed="81"/>
            <rFont val="Tahoma"/>
            <family val="2"/>
          </rPr>
          <t>Doctor, Bob (Research):</t>
        </r>
        <r>
          <rPr>
            <sz val="9"/>
            <color indexed="81"/>
            <rFont val="Tahoma"/>
            <family val="2"/>
          </rPr>
          <t xml:space="preserve">
700m 7.25% comes due</t>
        </r>
      </text>
    </comment>
    <comment ref="B136" authorId="4">
      <text>
        <r>
          <rPr>
            <b/>
            <sz val="9"/>
            <color indexed="81"/>
            <rFont val="Tahoma"/>
            <family val="2"/>
          </rPr>
          <t>Doctor, Bob (Research):</t>
        </r>
        <r>
          <rPr>
            <sz val="9"/>
            <color indexed="81"/>
            <rFont val="Tahoma"/>
            <family val="2"/>
          </rPr>
          <t xml:space="preserve">
cash tax benefit</t>
        </r>
      </text>
    </comment>
    <comment ref="BG137" authorId="0">
      <text>
        <r>
          <rPr>
            <b/>
            <sz val="8"/>
            <color indexed="8"/>
            <rFont val="tahoma"/>
            <family val="2"/>
          </rPr>
          <t>mukeruma:</t>
        </r>
        <r>
          <rPr>
            <sz val="8"/>
            <color indexed="8"/>
            <rFont val="tahoma"/>
            <family val="2"/>
          </rPr>
          <t xml:space="preserve">
assuming distribution equals earnings</t>
        </r>
      </text>
    </comment>
    <comment ref="BH137" authorId="0">
      <text>
        <r>
          <rPr>
            <b/>
            <sz val="8"/>
            <color indexed="8"/>
            <rFont val="tahoma"/>
            <family val="2"/>
          </rPr>
          <t>mukeruma:</t>
        </r>
        <r>
          <rPr>
            <sz val="8"/>
            <color indexed="8"/>
            <rFont val="tahoma"/>
            <family val="2"/>
          </rPr>
          <t xml:space="preserve">
assuming distribution equals earnings</t>
        </r>
      </text>
    </comment>
    <comment ref="BI137" authorId="0">
      <text>
        <r>
          <rPr>
            <b/>
            <sz val="8"/>
            <color indexed="8"/>
            <rFont val="tahoma"/>
            <family val="2"/>
          </rPr>
          <t>mukeruma:</t>
        </r>
        <r>
          <rPr>
            <sz val="8"/>
            <color indexed="8"/>
            <rFont val="tahoma"/>
            <family val="2"/>
          </rPr>
          <t xml:space="preserve">
assuming distribution equals earnings</t>
        </r>
      </text>
    </comment>
    <comment ref="BL137" authorId="0">
      <text>
        <r>
          <rPr>
            <b/>
            <sz val="8"/>
            <color indexed="8"/>
            <rFont val="tahoma"/>
            <family val="2"/>
          </rPr>
          <t>mukeruma:</t>
        </r>
        <r>
          <rPr>
            <sz val="8"/>
            <color indexed="8"/>
            <rFont val="tahoma"/>
            <family val="2"/>
          </rPr>
          <t xml:space="preserve">
assuming distribution equals earnings</t>
        </r>
      </text>
    </comment>
    <comment ref="BM137" authorId="0">
      <text>
        <r>
          <rPr>
            <b/>
            <sz val="8"/>
            <color indexed="8"/>
            <rFont val="tahoma"/>
            <family val="2"/>
          </rPr>
          <t>mukeruma:</t>
        </r>
        <r>
          <rPr>
            <sz val="8"/>
            <color indexed="8"/>
            <rFont val="tahoma"/>
            <family val="2"/>
          </rPr>
          <t xml:space="preserve">
assuming distribution equals earnings</t>
        </r>
      </text>
    </comment>
    <comment ref="BN137" authorId="0">
      <text>
        <r>
          <rPr>
            <b/>
            <sz val="8"/>
            <color indexed="8"/>
            <rFont val="tahoma"/>
            <family val="2"/>
          </rPr>
          <t>mukeruma:</t>
        </r>
        <r>
          <rPr>
            <sz val="8"/>
            <color indexed="8"/>
            <rFont val="tahoma"/>
            <family val="2"/>
          </rPr>
          <t xml:space="preserve">
assuming distribution equals earnings</t>
        </r>
      </text>
    </comment>
    <comment ref="BQ137" authorId="0">
      <text>
        <r>
          <rPr>
            <b/>
            <sz val="8"/>
            <color indexed="8"/>
            <rFont val="tahoma"/>
            <family val="2"/>
          </rPr>
          <t>mukeruma:</t>
        </r>
        <r>
          <rPr>
            <sz val="8"/>
            <color indexed="8"/>
            <rFont val="tahoma"/>
            <family val="2"/>
          </rPr>
          <t xml:space="preserve">
assuming distribution equals earnings</t>
        </r>
      </text>
    </comment>
    <comment ref="BR137" authorId="0">
      <text>
        <r>
          <rPr>
            <b/>
            <sz val="8"/>
            <color indexed="8"/>
            <rFont val="tahoma"/>
            <family val="2"/>
          </rPr>
          <t>mukeruma:</t>
        </r>
        <r>
          <rPr>
            <sz val="8"/>
            <color indexed="8"/>
            <rFont val="tahoma"/>
            <family val="2"/>
          </rPr>
          <t xml:space="preserve">
assuming distribution equals earnings</t>
        </r>
      </text>
    </comment>
    <comment ref="BS137" authorId="0">
      <text>
        <r>
          <rPr>
            <b/>
            <sz val="8"/>
            <color indexed="8"/>
            <rFont val="tahoma"/>
            <family val="2"/>
          </rPr>
          <t>mukeruma:</t>
        </r>
        <r>
          <rPr>
            <sz val="8"/>
            <color indexed="8"/>
            <rFont val="tahoma"/>
            <family val="2"/>
          </rPr>
          <t xml:space="preserve">
assuming distribution equals earnings</t>
        </r>
      </text>
    </comment>
    <comment ref="BV137" authorId="0">
      <text>
        <r>
          <rPr>
            <b/>
            <sz val="8"/>
            <color indexed="8"/>
            <rFont val="tahoma"/>
            <family val="2"/>
          </rPr>
          <t>mukeruma:</t>
        </r>
        <r>
          <rPr>
            <sz val="8"/>
            <color indexed="8"/>
            <rFont val="tahoma"/>
            <family val="2"/>
          </rPr>
          <t xml:space="preserve">
assuming distribution equals earnings</t>
        </r>
      </text>
    </comment>
    <comment ref="BW137" authorId="0">
      <text>
        <r>
          <rPr>
            <b/>
            <sz val="8"/>
            <color indexed="8"/>
            <rFont val="tahoma"/>
            <family val="2"/>
          </rPr>
          <t>mukeruma:</t>
        </r>
        <r>
          <rPr>
            <sz val="8"/>
            <color indexed="8"/>
            <rFont val="tahoma"/>
            <family val="2"/>
          </rPr>
          <t xml:space="preserve">
assuming distribution equals earnings</t>
        </r>
      </text>
    </comment>
    <comment ref="BX137" authorId="0">
      <text>
        <r>
          <rPr>
            <b/>
            <sz val="8"/>
            <color indexed="8"/>
            <rFont val="tahoma"/>
            <family val="2"/>
          </rPr>
          <t>mukeruma:</t>
        </r>
        <r>
          <rPr>
            <sz val="8"/>
            <color indexed="8"/>
            <rFont val="tahoma"/>
            <family val="2"/>
          </rPr>
          <t xml:space="preserve">
assuming distribution equals earnings</t>
        </r>
      </text>
    </comment>
    <comment ref="CA137" authorId="0">
      <text>
        <r>
          <rPr>
            <b/>
            <sz val="8"/>
            <color indexed="8"/>
            <rFont val="tahoma"/>
            <family val="2"/>
          </rPr>
          <t>mukeruma:</t>
        </r>
        <r>
          <rPr>
            <sz val="8"/>
            <color indexed="8"/>
            <rFont val="tahoma"/>
            <family val="2"/>
          </rPr>
          <t xml:space="preserve">
assuming distribution equals earnings</t>
        </r>
      </text>
    </comment>
    <comment ref="CB137" authorId="0">
      <text>
        <r>
          <rPr>
            <b/>
            <sz val="8"/>
            <color indexed="8"/>
            <rFont val="tahoma"/>
            <family val="2"/>
          </rPr>
          <t>mukeruma:</t>
        </r>
        <r>
          <rPr>
            <sz val="8"/>
            <color indexed="8"/>
            <rFont val="tahoma"/>
            <family val="2"/>
          </rPr>
          <t xml:space="preserve">
assuming distribution equals earnings</t>
        </r>
      </text>
    </comment>
    <comment ref="CC137" authorId="0">
      <text>
        <r>
          <rPr>
            <b/>
            <sz val="8"/>
            <color indexed="8"/>
            <rFont val="tahoma"/>
            <family val="2"/>
          </rPr>
          <t>mukeruma:</t>
        </r>
        <r>
          <rPr>
            <sz val="8"/>
            <color indexed="8"/>
            <rFont val="tahoma"/>
            <family val="2"/>
          </rPr>
          <t xml:space="preserve">
assuming distribution equals earnings</t>
        </r>
      </text>
    </comment>
    <comment ref="CD137" authorId="0">
      <text>
        <r>
          <rPr>
            <b/>
            <sz val="8"/>
            <color indexed="8"/>
            <rFont val="tahoma"/>
            <family val="2"/>
          </rPr>
          <t>mukeruma:</t>
        </r>
        <r>
          <rPr>
            <sz val="8"/>
            <color indexed="8"/>
            <rFont val="tahoma"/>
            <family val="2"/>
          </rPr>
          <t xml:space="preserve">
assuming distribution equals earnings</t>
        </r>
      </text>
    </comment>
    <comment ref="CF137" authorId="0">
      <text>
        <r>
          <rPr>
            <b/>
            <sz val="8"/>
            <color indexed="8"/>
            <rFont val="tahoma"/>
            <family val="2"/>
          </rPr>
          <t>mukeruma:</t>
        </r>
        <r>
          <rPr>
            <sz val="8"/>
            <color indexed="8"/>
            <rFont val="tahoma"/>
            <family val="2"/>
          </rPr>
          <t xml:space="preserve">
assuming distribution equals earnings</t>
        </r>
      </text>
    </comment>
    <comment ref="CG137" authorId="0">
      <text>
        <r>
          <rPr>
            <b/>
            <sz val="8"/>
            <color indexed="8"/>
            <rFont val="tahoma"/>
            <family val="2"/>
          </rPr>
          <t>mukeruma:</t>
        </r>
        <r>
          <rPr>
            <sz val="8"/>
            <color indexed="8"/>
            <rFont val="tahoma"/>
            <family val="2"/>
          </rPr>
          <t xml:space="preserve">
assuming distribution equals earnings</t>
        </r>
      </text>
    </comment>
    <comment ref="CH137" authorId="0">
      <text>
        <r>
          <rPr>
            <b/>
            <sz val="8"/>
            <color indexed="8"/>
            <rFont val="tahoma"/>
            <family val="2"/>
          </rPr>
          <t>mukeruma:</t>
        </r>
        <r>
          <rPr>
            <sz val="8"/>
            <color indexed="8"/>
            <rFont val="tahoma"/>
            <family val="2"/>
          </rPr>
          <t xml:space="preserve">
assuming distribution equals earnings</t>
        </r>
      </text>
    </comment>
    <comment ref="CI137" authorId="0">
      <text>
        <r>
          <rPr>
            <b/>
            <sz val="8"/>
            <color indexed="8"/>
            <rFont val="tahoma"/>
            <family val="2"/>
          </rPr>
          <t>mukeruma:</t>
        </r>
        <r>
          <rPr>
            <sz val="8"/>
            <color indexed="8"/>
            <rFont val="tahoma"/>
            <family val="2"/>
          </rPr>
          <t xml:space="preserve">
assuming distribution equals earnings</t>
        </r>
      </text>
    </comment>
    <comment ref="CK137" authorId="0">
      <text>
        <r>
          <rPr>
            <b/>
            <sz val="8"/>
            <color indexed="8"/>
            <rFont val="tahoma"/>
            <family val="2"/>
          </rPr>
          <t>mukeruma:</t>
        </r>
        <r>
          <rPr>
            <sz val="8"/>
            <color indexed="8"/>
            <rFont val="tahoma"/>
            <family val="2"/>
          </rPr>
          <t xml:space="preserve">
assuming distribution equals earnings</t>
        </r>
      </text>
    </comment>
    <comment ref="CL137" authorId="0">
      <text>
        <r>
          <rPr>
            <b/>
            <sz val="8"/>
            <color indexed="8"/>
            <rFont val="tahoma"/>
            <family val="2"/>
          </rPr>
          <t>mukeruma:</t>
        </r>
        <r>
          <rPr>
            <sz val="8"/>
            <color indexed="8"/>
            <rFont val="tahoma"/>
            <family val="2"/>
          </rPr>
          <t xml:space="preserve">
assuming distribution equals earnings</t>
        </r>
      </text>
    </comment>
    <comment ref="CM137" authorId="0">
      <text>
        <r>
          <rPr>
            <b/>
            <sz val="8"/>
            <color indexed="8"/>
            <rFont val="tahoma"/>
            <family val="2"/>
          </rPr>
          <t>mukeruma:</t>
        </r>
        <r>
          <rPr>
            <sz val="8"/>
            <color indexed="8"/>
            <rFont val="tahoma"/>
            <family val="2"/>
          </rPr>
          <t xml:space="preserve">
assuming distribution equals earnings</t>
        </r>
      </text>
    </comment>
    <comment ref="CN137" authorId="0">
      <text>
        <r>
          <rPr>
            <b/>
            <sz val="8"/>
            <color indexed="8"/>
            <rFont val="tahoma"/>
            <family val="2"/>
          </rPr>
          <t>mukeruma:</t>
        </r>
        <r>
          <rPr>
            <sz val="8"/>
            <color indexed="8"/>
            <rFont val="tahoma"/>
            <family val="2"/>
          </rPr>
          <t xml:space="preserve">
assuming distribution equals earnings</t>
        </r>
      </text>
    </comment>
    <comment ref="BV138" authorId="4">
      <text>
        <r>
          <rPr>
            <b/>
            <sz val="9"/>
            <color indexed="81"/>
            <rFont val="Tahoma"/>
            <family val="2"/>
          </rPr>
          <t>Doctor, Bob (Research):</t>
        </r>
        <r>
          <rPr>
            <sz val="9"/>
            <color indexed="81"/>
            <rFont val="Tahoma"/>
            <family val="2"/>
          </rPr>
          <t xml:space="preserve">
ballast impairment</t>
        </r>
      </text>
    </comment>
    <comment ref="BF145" authorId="3">
      <text>
        <r>
          <rPr>
            <b/>
            <sz val="8"/>
            <color indexed="81"/>
            <rFont val="Tahoma"/>
            <family val="2"/>
          </rPr>
          <t>cruzv:</t>
        </r>
        <r>
          <rPr>
            <sz val="8"/>
            <color indexed="81"/>
            <rFont val="Tahoma"/>
            <family val="2"/>
          </rPr>
          <t xml:space="preserve">
Implied $725-$805M</t>
        </r>
      </text>
    </comment>
    <comment ref="BK145" authorId="4">
      <text>
        <r>
          <rPr>
            <b/>
            <sz val="9"/>
            <color indexed="81"/>
            <rFont val="Tahoma"/>
            <family val="2"/>
          </rPr>
          <t>Doctor, Bob (Research):</t>
        </r>
        <r>
          <rPr>
            <sz val="9"/>
            <color indexed="81"/>
            <rFont val="Tahoma"/>
            <family val="2"/>
          </rPr>
          <t xml:space="preserve">
atleast $1B</t>
        </r>
      </text>
    </comment>
    <comment ref="BP145" authorId="4">
      <text>
        <r>
          <rPr>
            <b/>
            <sz val="9"/>
            <color indexed="81"/>
            <rFont val="Tahoma"/>
            <family val="2"/>
          </rPr>
          <t>Doctor, Bob (Research):</t>
        </r>
        <r>
          <rPr>
            <sz val="9"/>
            <color indexed="81"/>
            <rFont val="Tahoma"/>
            <family val="2"/>
          </rPr>
          <t xml:space="preserve">
1.35-1.45</t>
        </r>
      </text>
    </comment>
    <comment ref="BU145" authorId="4">
      <text>
        <r>
          <rPr>
            <b/>
            <sz val="9"/>
            <color indexed="81"/>
            <rFont val="Tahoma"/>
            <family val="2"/>
          </rPr>
          <t>Doctor, Bob (Research):</t>
        </r>
        <r>
          <rPr>
            <sz val="9"/>
            <color indexed="81"/>
            <rFont val="Tahoma"/>
            <family val="2"/>
          </rPr>
          <t xml:space="preserve">
1.4-1.6</t>
        </r>
      </text>
    </comment>
    <comment ref="BZ145" authorId="4">
      <text>
        <r>
          <rPr>
            <b/>
            <sz val="9"/>
            <color indexed="81"/>
            <rFont val="Tahoma"/>
            <family val="2"/>
          </rPr>
          <t>Doctor, Bob (Research):</t>
        </r>
        <r>
          <rPr>
            <sz val="9"/>
            <color indexed="81"/>
            <rFont val="Tahoma"/>
            <family val="2"/>
          </rPr>
          <t xml:space="preserve">
2Q: 1.9-2.1
1Q: 1.9-2.1
1.9-2.1 (4/6/17)</t>
        </r>
      </text>
    </comment>
    <comment ref="CE145" authorId="4">
      <text>
        <r>
          <rPr>
            <b/>
            <sz val="9"/>
            <color indexed="81"/>
            <rFont val="Tahoma"/>
            <family val="2"/>
          </rPr>
          <t>Doctor, Bob (Research):</t>
        </r>
        <r>
          <rPr>
            <sz val="9"/>
            <color indexed="81"/>
            <rFont val="Tahoma"/>
            <family val="2"/>
          </rPr>
          <t xml:space="preserve">
4Q:2.35-2.55</t>
        </r>
      </text>
    </comment>
    <comment ref="BC148" authorId="3">
      <text>
        <r>
          <rPr>
            <b/>
            <sz val="8"/>
            <color indexed="81"/>
            <rFont val="Tahoma"/>
            <family val="2"/>
          </rPr>
          <t>cruzv:</t>
        </r>
        <r>
          <rPr>
            <sz val="8"/>
            <color indexed="81"/>
            <rFont val="Tahoma"/>
            <family val="2"/>
          </rPr>
          <t xml:space="preserve">
Modelo/Piedras Negras</t>
        </r>
      </text>
    </comment>
    <comment ref="BH148" authorId="3">
      <text>
        <r>
          <rPr>
            <b/>
            <sz val="8"/>
            <color indexed="81"/>
            <rFont val="Tahoma"/>
            <family val="2"/>
          </rPr>
          <t>cruzv:</t>
        </r>
        <r>
          <rPr>
            <sz val="8"/>
            <color indexed="81"/>
            <rFont val="Tahoma"/>
            <family val="2"/>
          </rPr>
          <t xml:space="preserve">
$558M postclosing adjustment from Crown acquisition</t>
        </r>
      </text>
    </comment>
    <comment ref="BI148" authorId="4">
      <text>
        <r>
          <rPr>
            <b/>
            <sz val="9"/>
            <color indexed="81"/>
            <rFont val="Tahoma"/>
            <family val="2"/>
          </rPr>
          <t>Doctor, Bob (Research):</t>
        </r>
        <r>
          <rPr>
            <sz val="9"/>
            <color indexed="81"/>
            <rFont val="Tahoma"/>
            <family val="2"/>
          </rPr>
          <t xml:space="preserve">
glass facility</t>
        </r>
      </text>
    </comment>
    <comment ref="BS148" authorId="4">
      <text>
        <r>
          <rPr>
            <b/>
            <sz val="9"/>
            <color indexed="81"/>
            <rFont val="Tahoma"/>
            <family val="2"/>
          </rPr>
          <t>Doctor, Bob (Research):</t>
        </r>
        <r>
          <rPr>
            <sz val="9"/>
            <color indexed="81"/>
            <rFont val="Tahoma"/>
            <family val="2"/>
          </rPr>
          <t xml:space="preserve">
high west and charles smith</t>
        </r>
      </text>
    </comment>
    <comment ref="AV149" authorId="2">
      <text>
        <r>
          <rPr>
            <b/>
            <sz val="8"/>
            <color indexed="81"/>
            <rFont val="Tahoma"/>
            <family val="2"/>
          </rPr>
          <t>grunke:</t>
        </r>
        <r>
          <rPr>
            <sz val="8"/>
            <color indexed="81"/>
            <rFont val="Tahoma"/>
            <family val="2"/>
          </rPr>
          <t xml:space="preserve">
1/5/2012 
$70-$80M guid</t>
        </r>
      </text>
    </comment>
    <comment ref="BA149" authorId="2">
      <text>
        <r>
          <rPr>
            <b/>
            <sz val="8"/>
            <color indexed="81"/>
            <rFont val="Tahoma"/>
            <family val="2"/>
          </rPr>
          <t>grunke:</t>
        </r>
        <r>
          <rPr>
            <sz val="8"/>
            <color indexed="81"/>
            <rFont val="Tahoma"/>
            <family val="2"/>
          </rPr>
          <t xml:space="preserve">
$70-$80M guid</t>
        </r>
      </text>
    </comment>
    <comment ref="BF149" authorId="2">
      <text>
        <r>
          <rPr>
            <b/>
            <sz val="8"/>
            <color indexed="81"/>
            <rFont val="Tahoma"/>
            <family val="2"/>
          </rPr>
          <t>grunke:</t>
        </r>
        <r>
          <rPr>
            <sz val="8"/>
            <color indexed="81"/>
            <rFont val="Tahoma"/>
            <family val="2"/>
          </rPr>
          <t xml:space="preserve">
$200-$230M guid, of which: 
- $80-$90M wine/spirts
- $120-$140M Piedras</t>
        </r>
      </text>
    </comment>
    <comment ref="BK149" authorId="4">
      <text>
        <r>
          <rPr>
            <b/>
            <sz val="9"/>
            <color indexed="81"/>
            <rFont val="Tahoma"/>
            <family val="2"/>
          </rPr>
          <t>Doctor, Bob (Research):</t>
        </r>
        <r>
          <rPr>
            <sz val="9"/>
            <color indexed="81"/>
            <rFont val="Tahoma"/>
            <family val="2"/>
          </rPr>
          <t xml:space="preserve">
725-775</t>
        </r>
      </text>
    </comment>
    <comment ref="BP149" authorId="4">
      <text>
        <r>
          <rPr>
            <b/>
            <sz val="9"/>
            <color indexed="81"/>
            <rFont val="Tahoma"/>
            <family val="2"/>
          </rPr>
          <t>Doctor, Bob (Research):</t>
        </r>
        <r>
          <rPr>
            <sz val="9"/>
            <color indexed="81"/>
            <rFont val="Tahoma"/>
            <family val="2"/>
          </rPr>
          <t xml:space="preserve">
875-925</t>
        </r>
      </text>
    </comment>
    <comment ref="BU149" authorId="4">
      <text>
        <r>
          <rPr>
            <b/>
            <sz val="9"/>
            <color indexed="81"/>
            <rFont val="Tahoma"/>
            <family val="2"/>
          </rPr>
          <t>Doctor, Bob (Research):</t>
        </r>
        <r>
          <rPr>
            <sz val="9"/>
            <color indexed="81"/>
            <rFont val="Tahoma"/>
            <family val="2"/>
          </rPr>
          <t xml:space="preserve">
825-925</t>
        </r>
      </text>
    </comment>
    <comment ref="BZ149" authorId="4">
      <text>
        <r>
          <rPr>
            <b/>
            <sz val="9"/>
            <color indexed="81"/>
            <rFont val="Tahoma"/>
            <family val="2"/>
          </rPr>
          <t>Doctor, Bob (Research):</t>
        </r>
        <r>
          <rPr>
            <sz val="9"/>
            <color indexed="81"/>
            <rFont val="Tahoma"/>
            <family val="2"/>
          </rPr>
          <t xml:space="preserve">
3Q: R
2Q: R
1Q: R
$1.175 - $1.275 billion, including approximately $1.0 billion for beer (4/6/17)</t>
        </r>
      </text>
    </comment>
    <comment ref="CE149" authorId="4">
      <text>
        <r>
          <rPr>
            <b/>
            <sz val="9"/>
            <color indexed="81"/>
            <rFont val="Tahoma"/>
            <family val="2"/>
          </rPr>
          <t>Doctor, Bob (Research):</t>
        </r>
        <r>
          <rPr>
            <sz val="9"/>
            <color indexed="81"/>
            <rFont val="Tahoma"/>
            <family val="2"/>
          </rPr>
          <t xml:space="preserve">
4Q:1.15-1.25; 900m beer expansion</t>
        </r>
      </text>
    </comment>
    <comment ref="AK150" authorId="0">
      <text>
        <r>
          <rPr>
            <b/>
            <sz val="8"/>
            <color indexed="81"/>
            <rFont val="Tahoma"/>
            <family val="2"/>
          </rPr>
          <t>mukeruma:</t>
        </r>
        <r>
          <rPr>
            <sz val="8"/>
            <color indexed="81"/>
            <rFont val="Tahoma"/>
            <family val="2"/>
          </rPr>
          <t xml:space="preserve">
sale of cider</t>
        </r>
      </text>
    </comment>
    <comment ref="X151" authorId="0">
      <text>
        <r>
          <rPr>
            <b/>
            <sz val="8"/>
            <color indexed="8"/>
            <rFont val="tahoma"/>
            <family val="2"/>
          </rPr>
          <t>mukeruma:</t>
        </r>
        <r>
          <rPr>
            <sz val="8"/>
            <color indexed="8"/>
            <rFont val="tahoma"/>
            <family val="2"/>
          </rPr>
          <t xml:space="preserve">
includes proceeds from formation of JV</t>
        </r>
      </text>
    </comment>
    <comment ref="AX155" authorId="2">
      <text>
        <r>
          <rPr>
            <b/>
            <sz val="8"/>
            <color indexed="81"/>
            <rFont val="Tahoma"/>
            <family val="2"/>
          </rPr>
          <t>grunke:</t>
        </r>
        <r>
          <rPr>
            <sz val="8"/>
            <color indexed="81"/>
            <rFont val="Tahoma"/>
            <family val="2"/>
          </rPr>
          <t xml:space="preserve">
includes $650M cash put into  escrow for Crown Deal</t>
        </r>
      </text>
    </comment>
    <comment ref="BB158" authorId="3">
      <text>
        <r>
          <rPr>
            <b/>
            <sz val="8"/>
            <color indexed="81"/>
            <rFont val="Tahoma"/>
            <family val="2"/>
          </rPr>
          <t>cruzv:</t>
        </r>
        <r>
          <rPr>
            <sz val="8"/>
            <color indexed="81"/>
            <rFont val="Tahoma"/>
            <family val="2"/>
          </rPr>
          <t xml:space="preserve">
Includes payment of restricted cash upon issuance of LT debt</t>
        </r>
      </text>
    </comment>
    <comment ref="BC158" authorId="3">
      <text>
        <r>
          <rPr>
            <b/>
            <sz val="8"/>
            <color indexed="81"/>
            <rFont val="Tahoma"/>
            <family val="2"/>
          </rPr>
          <t>cruzv:</t>
        </r>
        <r>
          <rPr>
            <sz val="8"/>
            <color indexed="81"/>
            <rFont val="Tahoma"/>
            <family val="2"/>
          </rPr>
          <t xml:space="preserve">
Reversal of restricted cash payment</t>
        </r>
      </text>
    </comment>
    <comment ref="BI158" authorId="4">
      <text>
        <r>
          <rPr>
            <b/>
            <sz val="9"/>
            <color indexed="81"/>
            <rFont val="Tahoma"/>
            <family val="2"/>
          </rPr>
          <t>Doctor, Bob (Research):</t>
        </r>
        <r>
          <rPr>
            <sz val="9"/>
            <color indexed="81"/>
            <rFont val="Tahoma"/>
            <family val="2"/>
          </rPr>
          <t xml:space="preserve">
100M contibution for glass facility by OI</t>
        </r>
      </text>
    </comment>
    <comment ref="BU160" authorId="4">
      <text>
        <r>
          <rPr>
            <b/>
            <sz val="9"/>
            <color indexed="81"/>
            <rFont val="Tahoma"/>
            <family val="2"/>
          </rPr>
          <t>Doctor, Bob (Research):</t>
        </r>
        <r>
          <rPr>
            <sz val="9"/>
            <color indexed="81"/>
            <rFont val="Tahoma"/>
            <family val="2"/>
          </rPr>
          <t xml:space="preserve">
320</t>
        </r>
      </text>
    </comment>
    <comment ref="AV171" authorId="2">
      <text>
        <r>
          <rPr>
            <b/>
            <sz val="8"/>
            <color indexed="81"/>
            <rFont val="Tahoma"/>
            <family val="2"/>
          </rPr>
          <t xml:space="preserve">grunke:
</t>
        </r>
        <r>
          <rPr>
            <sz val="8"/>
            <color indexed="81"/>
            <rFont val="Tahoma"/>
            <family val="2"/>
          </rPr>
          <t xml:space="preserve">1/5/2012 </t>
        </r>
        <r>
          <rPr>
            <sz val="8"/>
            <color indexed="81"/>
            <rFont val="Tahoma"/>
            <family val="2"/>
          </rPr>
          <t xml:space="preserve">
$700-$750M guid</t>
        </r>
      </text>
    </comment>
    <comment ref="BA171" authorId="2">
      <text>
        <r>
          <rPr>
            <b/>
            <sz val="8"/>
            <color indexed="81"/>
            <rFont val="Tahoma"/>
            <family val="2"/>
          </rPr>
          <t>grunke:</t>
        </r>
        <r>
          <rPr>
            <sz val="8"/>
            <color indexed="81"/>
            <rFont val="Tahoma"/>
            <family val="2"/>
          </rPr>
          <t xml:space="preserve">
guid: $450-$500M</t>
        </r>
      </text>
    </comment>
    <comment ref="BF171" authorId="3">
      <text>
        <r>
          <rPr>
            <b/>
            <sz val="8"/>
            <color indexed="81"/>
            <rFont val="Tahoma"/>
            <family val="2"/>
          </rPr>
          <t>cruzv:</t>
        </r>
        <r>
          <rPr>
            <sz val="8"/>
            <color indexed="81"/>
            <rFont val="Tahoma"/>
            <family val="2"/>
          </rPr>
          <t xml:space="preserve">
$525-$575, up from $475-$575M</t>
        </r>
      </text>
    </comment>
    <comment ref="BK171" authorId="4">
      <text>
        <r>
          <rPr>
            <b/>
            <sz val="9"/>
            <color indexed="81"/>
            <rFont val="Tahoma"/>
            <family val="2"/>
          </rPr>
          <t>Doctor, Bob (Research):</t>
        </r>
        <r>
          <rPr>
            <sz val="9"/>
            <color indexed="81"/>
            <rFont val="Tahoma"/>
            <family val="2"/>
          </rPr>
          <t xml:space="preserve">
275-350</t>
        </r>
      </text>
    </comment>
    <comment ref="BP171" authorId="4">
      <text>
        <r>
          <rPr>
            <b/>
            <sz val="9"/>
            <color indexed="81"/>
            <rFont val="Tahoma"/>
            <family val="2"/>
          </rPr>
          <t>Doctor, Bob (Research):</t>
        </r>
        <r>
          <rPr>
            <sz val="9"/>
            <color indexed="81"/>
            <rFont val="Tahoma"/>
            <family val="2"/>
          </rPr>
          <t xml:space="preserve">
475-525</t>
        </r>
      </text>
    </comment>
    <comment ref="BU171" authorId="4">
      <text>
        <r>
          <rPr>
            <b/>
            <sz val="9"/>
            <color indexed="81"/>
            <rFont val="Tahoma"/>
            <family val="2"/>
          </rPr>
          <t>Doctor, Bob (Research):</t>
        </r>
        <r>
          <rPr>
            <sz val="9"/>
            <color indexed="81"/>
            <rFont val="Tahoma"/>
            <family val="2"/>
          </rPr>
          <t xml:space="preserve">
575-675</t>
        </r>
      </text>
    </comment>
    <comment ref="BZ171" authorId="4">
      <text>
        <r>
          <rPr>
            <b/>
            <sz val="9"/>
            <color indexed="81"/>
            <rFont val="Tahoma"/>
            <family val="2"/>
          </rPr>
          <t>Doctor, Bob (Research):</t>
        </r>
        <r>
          <rPr>
            <sz val="9"/>
            <color indexed="81"/>
            <rFont val="Tahoma"/>
            <family val="2"/>
          </rPr>
          <t xml:space="preserve">
2Q:R
1Q: 725-825
725-825 (4/6/17)</t>
        </r>
      </text>
    </comment>
    <comment ref="CE171" authorId="4">
      <text>
        <r>
          <rPr>
            <b/>
            <sz val="9"/>
            <color indexed="81"/>
            <rFont val="Tahoma"/>
            <family val="2"/>
          </rPr>
          <t>Doctor, Bob (Research):</t>
        </r>
        <r>
          <rPr>
            <sz val="9"/>
            <color indexed="81"/>
            <rFont val="Tahoma"/>
            <family val="2"/>
          </rPr>
          <t xml:space="preserve">
4Q: 1.2-1.3bn</t>
        </r>
      </text>
    </comment>
    <comment ref="BZ196" authorId="4">
      <text>
        <r>
          <rPr>
            <b/>
            <sz val="9"/>
            <color indexed="81"/>
            <rFont val="Tahoma"/>
            <family val="2"/>
          </rPr>
          <t>Doctor, Bob (Research):</t>
        </r>
        <r>
          <rPr>
            <sz val="9"/>
            <color indexed="81"/>
            <rFont val="Tahoma"/>
            <family val="2"/>
          </rPr>
          <t xml:space="preserve">
30% increase.On April 5, 2017, Constellation's board of directors declared a quarterly cash dividend of $0.52 per share of Class A Common Stock and $0.47 per share of Class B Common Stock </t>
        </r>
      </text>
    </comment>
    <comment ref="BU200" authorId="4">
      <text>
        <r>
          <rPr>
            <b/>
            <sz val="9"/>
            <color indexed="81"/>
            <rFont val="Tahoma"/>
            <family val="2"/>
          </rPr>
          <t>Doctor, Bob (Research):</t>
        </r>
        <r>
          <rPr>
            <sz val="9"/>
            <color indexed="81"/>
            <rFont val="Tahoma"/>
            <family val="2"/>
          </rPr>
          <t xml:space="preserve">
Repurchases approximately 7.4 million shares of common stock for $1.1 billion during fiscal 2017 at an average price of $151.57 per share</t>
        </r>
      </text>
    </comment>
    <comment ref="BY200" authorId="4">
      <text>
        <r>
          <rPr>
            <b/>
            <sz val="9"/>
            <color indexed="81"/>
            <rFont val="Tahoma"/>
            <family val="2"/>
          </rPr>
          <t>Doctor, Bob (Research):</t>
        </r>
        <r>
          <rPr>
            <sz val="9"/>
            <color indexed="81"/>
            <rFont val="Tahoma"/>
            <family val="2"/>
          </rPr>
          <t xml:space="preserve">
3.7</t>
        </r>
      </text>
    </comment>
    <comment ref="AW201" authorId="2">
      <text>
        <r>
          <rPr>
            <b/>
            <sz val="8"/>
            <color indexed="81"/>
            <rFont val="Tahoma"/>
            <family val="2"/>
          </rPr>
          <t>grunke:</t>
        </r>
        <r>
          <rPr>
            <sz val="8"/>
            <color indexed="81"/>
            <rFont val="Tahoma"/>
            <family val="2"/>
          </rPr>
          <t xml:space="preserve">
avg. price $21.15
diff due to timing</t>
        </r>
      </text>
    </comment>
    <comment ref="BP218" authorId="4">
      <text>
        <r>
          <rPr>
            <b/>
            <sz val="9"/>
            <color indexed="81"/>
            <rFont val="Tahoma"/>
            <family val="2"/>
          </rPr>
          <t>Doctor, Bob (Research):</t>
        </r>
        <r>
          <rPr>
            <sz val="9"/>
            <color indexed="81"/>
            <rFont val="Tahoma"/>
            <family val="2"/>
          </rPr>
          <t xml:space="preserve">
below 4x in fy16</t>
        </r>
      </text>
    </comment>
    <comment ref="AU223" authorId="2">
      <text>
        <r>
          <rPr>
            <b/>
            <sz val="8"/>
            <color indexed="81"/>
            <rFont val="Tahoma"/>
            <family val="2"/>
          </rPr>
          <t>grunke:</t>
        </r>
        <r>
          <rPr>
            <sz val="8"/>
            <color indexed="81"/>
            <rFont val="Tahoma"/>
            <family val="2"/>
          </rPr>
          <t xml:space="preserve">
est. normalized </t>
        </r>
      </text>
    </comment>
    <comment ref="AM264" authorId="0">
      <text>
        <r>
          <rPr>
            <b/>
            <sz val="8"/>
            <color indexed="81"/>
            <rFont val="Tahoma"/>
            <family val="2"/>
          </rPr>
          <t>mukeruma:</t>
        </r>
        <r>
          <rPr>
            <sz val="8"/>
            <color indexed="81"/>
            <rFont val="Tahoma"/>
            <family val="2"/>
          </rPr>
          <t xml:space="preserve">
Assuming 60%</t>
        </r>
      </text>
    </comment>
  </commentList>
</comments>
</file>

<file path=xl/comments2.xml><?xml version="1.0" encoding="utf-8"?>
<comments xmlns="http://schemas.openxmlformats.org/spreadsheetml/2006/main">
  <authors>
    <author>Doctor, Bob (Research)</author>
    <author>linalis</author>
    <author>grunke</author>
    <author>cruzv</author>
  </authors>
  <commentList>
    <comment ref="AG13" authorId="0">
      <text>
        <r>
          <rPr>
            <b/>
            <sz val="9"/>
            <color indexed="81"/>
            <rFont val="Tahoma"/>
            <family val="2"/>
          </rPr>
          <t>Doctor, Bob (Research):</t>
        </r>
        <r>
          <rPr>
            <sz val="9"/>
            <color indexed="81"/>
            <rFont val="Tahoma"/>
            <family val="2"/>
          </rPr>
          <t xml:space="preserve">
low teens</t>
        </r>
      </text>
    </comment>
    <comment ref="AL13" authorId="0">
      <text>
        <r>
          <rPr>
            <b/>
            <sz val="9"/>
            <color indexed="81"/>
            <rFont val="Tahoma"/>
            <family val="2"/>
          </rPr>
          <t>Doctor, Bob (Research):</t>
        </r>
        <r>
          <rPr>
            <sz val="9"/>
            <color indexed="81"/>
            <rFont val="Tahoma"/>
            <family val="2"/>
          </rPr>
          <t xml:space="preserve">
12-14%
</t>
        </r>
      </text>
    </comment>
    <comment ref="AQ13" authorId="0">
      <text>
        <r>
          <rPr>
            <b/>
            <sz val="9"/>
            <color indexed="81"/>
            <rFont val="Tahoma"/>
            <family val="2"/>
          </rPr>
          <t>Doctor, Bob (Research):</t>
        </r>
        <r>
          <rPr>
            <sz val="9"/>
            <color indexed="81"/>
            <rFont val="Tahoma"/>
            <family val="2"/>
          </rPr>
          <t xml:space="preserve">
12-13%</t>
        </r>
      </text>
    </comment>
    <comment ref="X14" authorId="0">
      <text>
        <r>
          <rPr>
            <b/>
            <sz val="9"/>
            <color indexed="81"/>
            <rFont val="Tahoma"/>
            <family val="2"/>
          </rPr>
          <t>Doctor, Bob (Research):</t>
        </r>
        <r>
          <rPr>
            <sz val="9"/>
            <color indexed="81"/>
            <rFont val="Tahoma"/>
            <family val="2"/>
          </rPr>
          <t xml:space="preserve">
driven primarily by volume</t>
        </r>
      </text>
    </comment>
    <comment ref="Z14" authorId="0">
      <text>
        <r>
          <rPr>
            <b/>
            <sz val="9"/>
            <color indexed="81"/>
            <rFont val="Tahoma"/>
            <family val="2"/>
          </rPr>
          <t>Doctor, Bob (Research):</t>
        </r>
        <r>
          <rPr>
            <sz val="9"/>
            <color indexed="81"/>
            <rFont val="Tahoma"/>
            <family val="2"/>
          </rPr>
          <t xml:space="preserve">
an increase in third quarter shipments to replenish distributor inventory levels which were running below normal
after this year's robust summer selling season, an easier comparison versus last year's third quarter due to the timing of shipments in the second
quarter of fiscal 2013 in advance of price increases in select markets</t>
        </r>
      </text>
    </comment>
    <comment ref="AD14" authorId="0">
      <text>
        <r>
          <rPr>
            <b/>
            <sz val="9"/>
            <color indexed="81"/>
            <rFont val="Tahoma"/>
            <family val="2"/>
          </rPr>
          <t>Doctor, Bob (Research):</t>
        </r>
        <r>
          <rPr>
            <sz val="9"/>
            <color indexed="81"/>
            <rFont val="Tahoma"/>
            <family val="2"/>
          </rPr>
          <t xml:space="preserve">
11% adj</t>
        </r>
      </text>
    </comment>
    <comment ref="AE14" authorId="0">
      <text>
        <r>
          <rPr>
            <b/>
            <sz val="9"/>
            <color indexed="81"/>
            <rFont val="Tahoma"/>
            <family val="2"/>
          </rPr>
          <t>Doctor, Bob (Research):</t>
        </r>
        <r>
          <rPr>
            <sz val="9"/>
            <color indexed="81"/>
            <rFont val="Tahoma"/>
            <family val="2"/>
          </rPr>
          <t xml:space="preserve">
2m case boost (~4.5%)
9.5% adj.</t>
        </r>
      </text>
    </comment>
    <comment ref="AG14" authorId="0">
      <text>
        <r>
          <rPr>
            <b/>
            <sz val="9"/>
            <color indexed="81"/>
            <rFont val="Tahoma"/>
            <family val="2"/>
          </rPr>
          <t>Doctor, Bob (Research):</t>
        </r>
        <r>
          <rPr>
            <sz val="9"/>
            <color indexed="81"/>
            <rFont val="Tahoma"/>
            <family val="2"/>
          </rPr>
          <t xml:space="preserve">
depletions in the HSD range</t>
        </r>
      </text>
    </comment>
    <comment ref="AL14" authorId="0">
      <text>
        <r>
          <rPr>
            <b/>
            <sz val="9"/>
            <color indexed="81"/>
            <rFont val="Tahoma"/>
            <family val="2"/>
          </rPr>
          <t>Doctor, Bob (Research):</t>
        </r>
        <r>
          <rPr>
            <sz val="9"/>
            <color indexed="81"/>
            <rFont val="Tahoma"/>
            <family val="2"/>
          </rPr>
          <t xml:space="preserve">
10-12</t>
        </r>
      </text>
    </comment>
    <comment ref="AQ14" authorId="0">
      <text>
        <r>
          <rPr>
            <b/>
            <sz val="9"/>
            <color indexed="81"/>
            <rFont val="Tahoma"/>
            <family val="2"/>
          </rPr>
          <t>Doctor, Bob (Research):</t>
        </r>
        <r>
          <rPr>
            <sz val="9"/>
            <color indexed="81"/>
            <rFont val="Tahoma"/>
            <family val="2"/>
          </rPr>
          <t xml:space="preserve">
8.5-11.5</t>
        </r>
      </text>
    </comment>
    <comment ref="Z15" authorId="0">
      <text>
        <r>
          <rPr>
            <b/>
            <sz val="9"/>
            <color indexed="81"/>
            <rFont val="Tahoma"/>
            <family val="2"/>
          </rPr>
          <t>Doctor, Bob (Research):</t>
        </r>
        <r>
          <rPr>
            <sz val="9"/>
            <color indexed="81"/>
            <rFont val="Tahoma"/>
            <family val="2"/>
          </rPr>
          <t xml:space="preserve">
2% pricing; some anomalies in the prior year</t>
        </r>
      </text>
    </comment>
    <comment ref="AG15" authorId="0">
      <text>
        <r>
          <rPr>
            <b/>
            <sz val="9"/>
            <color indexed="81"/>
            <rFont val="Tahoma"/>
            <family val="2"/>
          </rPr>
          <t>Doctor, Bob (Research):</t>
        </r>
        <r>
          <rPr>
            <sz val="9"/>
            <color indexed="81"/>
            <rFont val="Tahoma"/>
            <family val="2"/>
          </rPr>
          <t xml:space="preserve">
2% range</t>
        </r>
      </text>
    </comment>
    <comment ref="AL15" authorId="0">
      <text>
        <r>
          <rPr>
            <b/>
            <sz val="9"/>
            <color indexed="81"/>
            <rFont val="Tahoma"/>
            <family val="2"/>
          </rPr>
          <t>Doctor, Bob (Research):</t>
        </r>
        <r>
          <rPr>
            <sz val="9"/>
            <color indexed="81"/>
            <rFont val="Tahoma"/>
            <family val="2"/>
          </rPr>
          <t xml:space="preserve">
1-2%</t>
        </r>
      </text>
    </comment>
    <comment ref="AQ15" authorId="0">
      <text>
        <r>
          <rPr>
            <b/>
            <sz val="9"/>
            <color indexed="81"/>
            <rFont val="Tahoma"/>
            <family val="2"/>
          </rPr>
          <t>Doctor, Bob (Research):</t>
        </r>
        <r>
          <rPr>
            <sz val="9"/>
            <color indexed="81"/>
            <rFont val="Tahoma"/>
            <family val="2"/>
          </rPr>
          <t xml:space="preserve">
1-2</t>
        </r>
      </text>
    </comment>
    <comment ref="AQ17" authorId="0">
      <text>
        <r>
          <rPr>
            <b/>
            <sz val="9"/>
            <color indexed="81"/>
            <rFont val="Tahoma"/>
            <family val="2"/>
          </rPr>
          <t>Doctor, Bob (Research):</t>
        </r>
        <r>
          <rPr>
            <sz val="9"/>
            <color indexed="81"/>
            <rFont val="Tahoma"/>
            <family val="2"/>
          </rPr>
          <t xml:space="preserve">
~4%</t>
        </r>
      </text>
    </comment>
    <comment ref="R18" authorId="1">
      <text>
        <r>
          <rPr>
            <b/>
            <sz val="8"/>
            <color indexed="81"/>
            <rFont val="Tahoma"/>
            <family val="2"/>
          </rPr>
          <t>linalis:</t>
        </r>
        <r>
          <rPr>
            <sz val="8"/>
            <color indexed="81"/>
            <rFont val="Tahoma"/>
            <family val="2"/>
          </rPr>
          <t xml:space="preserve">
guidance LSD-MSD depletion and org sales growth</t>
        </r>
      </text>
    </comment>
    <comment ref="W18" authorId="2">
      <text>
        <r>
          <rPr>
            <b/>
            <sz val="8"/>
            <color indexed="81"/>
            <rFont val="Tahoma"/>
            <family val="2"/>
          </rPr>
          <t>grunke:</t>
        </r>
        <r>
          <rPr>
            <sz val="8"/>
            <color indexed="81"/>
            <rFont val="Tahoma"/>
            <family val="2"/>
          </rPr>
          <t xml:space="preserve">
MSD % guid</t>
        </r>
      </text>
    </comment>
    <comment ref="AB18" authorId="3">
      <text>
        <r>
          <rPr>
            <b/>
            <sz val="8"/>
            <color indexed="81"/>
            <rFont val="Tahoma"/>
            <family val="2"/>
          </rPr>
          <t>cruzv:</t>
        </r>
        <r>
          <rPr>
            <sz val="8"/>
            <color indexed="81"/>
            <rFont val="Tahoma"/>
            <family val="2"/>
          </rPr>
          <t xml:space="preserve">
HSD (%) guidance</t>
        </r>
      </text>
    </comment>
    <comment ref="AG18" authorId="0">
      <text>
        <r>
          <rPr>
            <b/>
            <sz val="9"/>
            <color indexed="81"/>
            <rFont val="Tahoma"/>
            <family val="2"/>
          </rPr>
          <t>Doctor, Bob (Research):</t>
        </r>
        <r>
          <rPr>
            <sz val="9"/>
            <color indexed="81"/>
            <rFont val="Tahoma"/>
            <family val="2"/>
          </rPr>
          <t xml:space="preserve">
10% guidance</t>
        </r>
      </text>
    </comment>
    <comment ref="AQ18" authorId="0">
      <text>
        <r>
          <rPr>
            <b/>
            <sz val="9"/>
            <color indexed="81"/>
            <rFont val="Tahoma"/>
            <family val="2"/>
          </rPr>
          <t>Doctor, Bob (Research):</t>
        </r>
        <r>
          <rPr>
            <sz val="9"/>
            <color indexed="81"/>
            <rFont val="Tahoma"/>
            <family val="2"/>
          </rPr>
          <t xml:space="preserve">
16-17%</t>
        </r>
      </text>
    </comment>
    <comment ref="AV18" authorId="0">
      <text>
        <r>
          <rPr>
            <b/>
            <sz val="9"/>
            <color indexed="81"/>
            <rFont val="Tahoma"/>
            <family val="2"/>
          </rPr>
          <t>Doctor, Bob (Research):</t>
        </r>
        <r>
          <rPr>
            <sz val="9"/>
            <color indexed="81"/>
            <rFont val="Tahoma"/>
            <family val="2"/>
          </rPr>
          <t xml:space="preserve">
3Q:9-11
2Q:9-11
9-11 (4/6/17)</t>
        </r>
      </text>
    </comment>
    <comment ref="BA18" authorId="0">
      <text>
        <r>
          <rPr>
            <b/>
            <sz val="9"/>
            <color indexed="81"/>
            <rFont val="Tahoma"/>
            <family val="2"/>
          </rPr>
          <t>Doctor, Bob (Research):</t>
        </r>
        <r>
          <rPr>
            <sz val="9"/>
            <color indexed="81"/>
            <rFont val="Tahoma"/>
            <family val="2"/>
          </rPr>
          <t xml:space="preserve">
9-11</t>
        </r>
      </text>
    </comment>
    <comment ref="H19" authorId="0">
      <text>
        <r>
          <rPr>
            <b/>
            <sz val="9"/>
            <color indexed="81"/>
            <rFont val="Tahoma"/>
            <family val="2"/>
          </rPr>
          <t>Doctor, Bob (Research):</t>
        </r>
        <r>
          <rPr>
            <sz val="9"/>
            <color indexed="81"/>
            <rFont val="Tahoma"/>
            <family val="2"/>
          </rPr>
          <t xml:space="preserve">
just NA</t>
        </r>
      </text>
    </comment>
    <comment ref="M19" authorId="0">
      <text>
        <r>
          <rPr>
            <b/>
            <sz val="9"/>
            <color indexed="81"/>
            <rFont val="Tahoma"/>
            <family val="2"/>
          </rPr>
          <t>Doctor, Bob (Research):</t>
        </r>
        <r>
          <rPr>
            <sz val="9"/>
            <color indexed="81"/>
            <rFont val="Tahoma"/>
            <family val="2"/>
          </rPr>
          <t xml:space="preserve">
just NA</t>
        </r>
      </text>
    </comment>
    <comment ref="AG20" authorId="0">
      <text>
        <r>
          <rPr>
            <b/>
            <sz val="9"/>
            <color indexed="81"/>
            <rFont val="Tahoma"/>
            <family val="2"/>
          </rPr>
          <t>Doctor, Bob (Research):</t>
        </r>
        <r>
          <rPr>
            <sz val="9"/>
            <color indexed="81"/>
            <rFont val="Tahoma"/>
            <family val="2"/>
          </rPr>
          <t xml:space="preserve">
LSD-MSD range</t>
        </r>
      </text>
    </comment>
    <comment ref="AL20" authorId="0">
      <text>
        <r>
          <rPr>
            <b/>
            <sz val="9"/>
            <color indexed="81"/>
            <rFont val="Tahoma"/>
            <family val="2"/>
          </rPr>
          <t>Doctor, Bob (Research):</t>
        </r>
        <r>
          <rPr>
            <sz val="9"/>
            <color indexed="81"/>
            <rFont val="Tahoma"/>
            <family val="2"/>
          </rPr>
          <t xml:space="preserve">
L-MSD</t>
        </r>
      </text>
    </comment>
    <comment ref="AO20" authorId="0">
      <text>
        <r>
          <rPr>
            <b/>
            <sz val="9"/>
            <color indexed="81"/>
            <rFont val="Tahoma"/>
            <family val="2"/>
          </rPr>
          <t>Doctor, Bob (Research):</t>
        </r>
        <r>
          <rPr>
            <sz val="9"/>
            <color indexed="81"/>
            <rFont val="Tahoma"/>
            <family val="2"/>
          </rPr>
          <t xml:space="preserve">
flat to down slightly</t>
        </r>
      </text>
    </comment>
    <comment ref="AQ20" authorId="0">
      <text>
        <r>
          <rPr>
            <b/>
            <sz val="9"/>
            <color indexed="81"/>
            <rFont val="Tahoma"/>
            <family val="2"/>
          </rPr>
          <t>Doctor, Bob (Research):</t>
        </r>
        <r>
          <rPr>
            <sz val="9"/>
            <color indexed="81"/>
            <rFont val="Tahoma"/>
            <family val="2"/>
          </rPr>
          <t xml:space="preserve">
L-msd</t>
        </r>
      </text>
    </comment>
    <comment ref="AV20" authorId="0">
      <text>
        <r>
          <rPr>
            <b/>
            <sz val="9"/>
            <color indexed="81"/>
            <rFont val="Tahoma"/>
            <family val="2"/>
          </rPr>
          <t>Doctor, Bob (Research):</t>
        </r>
        <r>
          <rPr>
            <sz val="9"/>
            <color indexed="81"/>
            <rFont val="Tahoma"/>
            <family val="2"/>
          </rPr>
          <t xml:space="preserve">
2Q: 4-6 including M&amp;A benefit</t>
        </r>
      </text>
    </comment>
    <comment ref="AW20" authorId="0">
      <text>
        <r>
          <rPr>
            <b/>
            <sz val="9"/>
            <color indexed="81"/>
            <rFont val="Tahoma"/>
            <family val="2"/>
          </rPr>
          <t>Doctor, Bob (Research):</t>
        </r>
        <r>
          <rPr>
            <sz val="9"/>
            <color indexed="81"/>
            <rFont val="Tahoma"/>
            <family val="2"/>
          </rPr>
          <t xml:space="preserve">
down LSD</t>
        </r>
      </text>
    </comment>
    <comment ref="BA20" authorId="0">
      <text>
        <r>
          <rPr>
            <b/>
            <sz val="9"/>
            <color indexed="81"/>
            <rFont val="Tahoma"/>
            <family val="2"/>
          </rPr>
          <t>Doctor, Bob (Research):</t>
        </r>
        <r>
          <rPr>
            <sz val="9"/>
            <color indexed="81"/>
            <rFont val="Tahoma"/>
            <family val="2"/>
          </rPr>
          <t xml:space="preserve">
50 bps rationalization</t>
        </r>
      </text>
    </comment>
    <comment ref="M21" authorId="0">
      <text>
        <r>
          <rPr>
            <b/>
            <sz val="9"/>
            <color indexed="81"/>
            <rFont val="Tahoma"/>
            <family val="2"/>
          </rPr>
          <t>Doctor, Bob (Research):</t>
        </r>
        <r>
          <rPr>
            <sz val="9"/>
            <color indexed="81"/>
            <rFont val="Tahoma"/>
            <family val="2"/>
          </rPr>
          <t xml:space="preserve">
NA shipment volume</t>
        </r>
      </text>
    </comment>
    <comment ref="S21" authorId="0">
      <text>
        <r>
          <rPr>
            <b/>
            <sz val="9"/>
            <color indexed="81"/>
            <rFont val="Tahoma"/>
            <family val="2"/>
          </rPr>
          <t>Doctor, Bob (Research):</t>
        </r>
        <r>
          <rPr>
            <sz val="9"/>
            <color indexed="81"/>
            <rFont val="Tahoma"/>
            <family val="2"/>
          </rPr>
          <t xml:space="preserve">
exclude Mark West</t>
        </r>
      </text>
    </comment>
    <comment ref="X21" authorId="0">
      <text>
        <r>
          <rPr>
            <b/>
            <sz val="9"/>
            <color indexed="81"/>
            <rFont val="Tahoma"/>
            <family val="2"/>
          </rPr>
          <t>Doctor, Bob (Research):</t>
        </r>
        <r>
          <rPr>
            <sz val="9"/>
            <color indexed="81"/>
            <rFont val="Tahoma"/>
            <family val="2"/>
          </rPr>
          <t xml:space="preserve">
exclude Mark West</t>
        </r>
      </text>
    </comment>
    <comment ref="AE21" authorId="0">
      <text>
        <r>
          <rPr>
            <b/>
            <sz val="9"/>
            <color indexed="81"/>
            <rFont val="Tahoma"/>
            <family val="2"/>
          </rPr>
          <t>Doctor, Bob (Research):</t>
        </r>
        <r>
          <rPr>
            <sz val="9"/>
            <color indexed="81"/>
            <rFont val="Tahoma"/>
            <family val="2"/>
          </rPr>
          <t xml:space="preserve">
Our expectation is that you should continue to see improving depletion trends
as we progress throughout the year similar to last year.</t>
        </r>
      </text>
    </comment>
    <comment ref="AG21" authorId="0">
      <text>
        <r>
          <rPr>
            <b/>
            <sz val="9"/>
            <color indexed="81"/>
            <rFont val="Tahoma"/>
            <family val="2"/>
          </rPr>
          <t>Doctor, Bob (Research):</t>
        </r>
        <r>
          <rPr>
            <sz val="9"/>
            <color indexed="81"/>
            <rFont val="Tahoma"/>
            <family val="2"/>
          </rPr>
          <t xml:space="preserve">
LSD range</t>
        </r>
      </text>
    </comment>
    <comment ref="BA21" authorId="0">
      <text>
        <r>
          <rPr>
            <b/>
            <sz val="9"/>
            <color indexed="81"/>
            <rFont val="Tahoma"/>
            <family val="2"/>
          </rPr>
          <t>Doctor, Bob (Research):</t>
        </r>
        <r>
          <rPr>
            <sz val="9"/>
            <color indexed="81"/>
            <rFont val="Tahoma"/>
            <family val="2"/>
          </rPr>
          <t xml:space="preserve">
LSD growth</t>
        </r>
      </text>
    </comment>
    <comment ref="AG22" authorId="0">
      <text>
        <r>
          <rPr>
            <b/>
            <sz val="9"/>
            <color indexed="81"/>
            <rFont val="Tahoma"/>
            <family val="2"/>
          </rPr>
          <t>Doctor, Bob (Research):</t>
        </r>
        <r>
          <rPr>
            <sz val="9"/>
            <color indexed="81"/>
            <rFont val="Tahoma"/>
            <family val="2"/>
          </rPr>
          <t xml:space="preserve">
positve price mix</t>
        </r>
      </text>
    </comment>
    <comment ref="S24" authorId="2">
      <text>
        <r>
          <rPr>
            <b/>
            <sz val="8"/>
            <color indexed="81"/>
            <rFont val="Tahoma"/>
            <family val="2"/>
          </rPr>
          <t>grunke:</t>
        </r>
        <r>
          <rPr>
            <sz val="8"/>
            <color indexed="81"/>
            <rFont val="Tahoma"/>
            <family val="2"/>
          </rPr>
          <t xml:space="preserve">
Ruffino</t>
        </r>
      </text>
    </comment>
    <comment ref="T24" authorId="2">
      <text>
        <r>
          <rPr>
            <b/>
            <sz val="8"/>
            <color indexed="81"/>
            <rFont val="Tahoma"/>
            <family val="2"/>
          </rPr>
          <t>grunke:</t>
        </r>
        <r>
          <rPr>
            <sz val="8"/>
            <color indexed="81"/>
            <rFont val="Tahoma"/>
            <family val="2"/>
          </rPr>
          <t xml:space="preserve">
Ruffino +$7.3M
Mark West +$6.1M</t>
        </r>
      </text>
    </comment>
    <comment ref="V24" authorId="2">
      <text>
        <r>
          <rPr>
            <b/>
            <sz val="8"/>
            <color indexed="81"/>
            <rFont val="Tahoma"/>
            <family val="2"/>
          </rPr>
          <t>grunke:</t>
        </r>
        <r>
          <rPr>
            <sz val="8"/>
            <color indexed="81"/>
            <rFont val="Tahoma"/>
            <family val="2"/>
          </rPr>
          <t xml:space="preserve">
Mark West</t>
        </r>
      </text>
    </comment>
    <comment ref="W24" authorId="2">
      <text>
        <r>
          <rPr>
            <b/>
            <sz val="8"/>
            <color indexed="81"/>
            <rFont val="Tahoma"/>
            <family val="2"/>
          </rPr>
          <t>grunke:</t>
        </r>
        <r>
          <rPr>
            <sz val="8"/>
            <color indexed="81"/>
            <rFont val="Tahoma"/>
            <family val="2"/>
          </rPr>
          <t xml:space="preserve">
Mark West $35M annualized sales</t>
        </r>
      </text>
    </comment>
    <comment ref="AK24" authorId="0">
      <text>
        <r>
          <rPr>
            <b/>
            <sz val="9"/>
            <color indexed="81"/>
            <rFont val="Tahoma"/>
            <family val="2"/>
          </rPr>
          <t>Doctor, Bob (Research):</t>
        </r>
        <r>
          <rPr>
            <sz val="9"/>
            <color indexed="81"/>
            <rFont val="Tahoma"/>
            <family val="2"/>
          </rPr>
          <t xml:space="preserve">
</t>
        </r>
      </text>
    </comment>
    <comment ref="R25" authorId="3">
      <text>
        <r>
          <rPr>
            <b/>
            <sz val="8"/>
            <color indexed="81"/>
            <rFont val="Tahoma"/>
            <family val="2"/>
          </rPr>
          <t>cruzv:</t>
        </r>
        <r>
          <rPr>
            <sz val="8"/>
            <color indexed="81"/>
            <rFont val="Tahoma"/>
            <family val="2"/>
          </rPr>
          <t xml:space="preserve">
HSD (%) guidance</t>
        </r>
      </text>
    </comment>
    <comment ref="W25" authorId="3">
      <text>
        <r>
          <rPr>
            <b/>
            <sz val="8"/>
            <color indexed="81"/>
            <rFont val="Tahoma"/>
            <family val="2"/>
          </rPr>
          <t>cruzv:</t>
        </r>
        <r>
          <rPr>
            <sz val="8"/>
            <color indexed="81"/>
            <rFont val="Tahoma"/>
            <family val="2"/>
          </rPr>
          <t xml:space="preserve">
HSD (%) guidance</t>
        </r>
      </text>
    </comment>
    <comment ref="AB25" authorId="3">
      <text>
        <r>
          <rPr>
            <b/>
            <sz val="8"/>
            <color indexed="81"/>
            <rFont val="Tahoma"/>
            <family val="2"/>
          </rPr>
          <t>cruzv:</t>
        </r>
        <r>
          <rPr>
            <sz val="8"/>
            <color indexed="81"/>
            <rFont val="Tahoma"/>
            <family val="2"/>
          </rPr>
          <t xml:space="preserve">
HSD (%) guidance</t>
        </r>
      </text>
    </comment>
    <comment ref="AQ25" authorId="0">
      <text>
        <r>
          <rPr>
            <b/>
            <sz val="9"/>
            <color indexed="81"/>
            <rFont val="Tahoma"/>
            <family val="2"/>
          </rPr>
          <t>Doctor, Bob (Research):</t>
        </r>
        <r>
          <rPr>
            <sz val="9"/>
            <color indexed="81"/>
            <rFont val="Tahoma"/>
            <family val="2"/>
          </rPr>
          <t xml:space="preserve">
msd</t>
        </r>
      </text>
    </comment>
    <comment ref="AV25" authorId="0">
      <text>
        <r>
          <rPr>
            <b/>
            <sz val="9"/>
            <color indexed="81"/>
            <rFont val="Tahoma"/>
            <family val="2"/>
          </rPr>
          <t>Doctor, Bob (Research):</t>
        </r>
        <r>
          <rPr>
            <sz val="9"/>
            <color indexed="81"/>
            <rFont val="Tahoma"/>
            <family val="2"/>
          </rPr>
          <t xml:space="preserve">
2Q: -4-6 
-4-6 (4/6/17)</t>
        </r>
      </text>
    </comment>
    <comment ref="BA25" authorId="0">
      <text>
        <r>
          <rPr>
            <b/>
            <sz val="9"/>
            <color indexed="81"/>
            <rFont val="Tahoma"/>
            <family val="2"/>
          </rPr>
          <t>Doctor, Bob (Research):</t>
        </r>
        <r>
          <rPr>
            <sz val="9"/>
            <color indexed="81"/>
            <rFont val="Tahoma"/>
            <family val="2"/>
          </rPr>
          <t xml:space="preserve">
2-4</t>
        </r>
      </text>
    </comment>
    <comment ref="Y30" authorId="3">
      <text>
        <r>
          <rPr>
            <b/>
            <sz val="8"/>
            <color indexed="81"/>
            <rFont val="Tahoma"/>
            <family val="2"/>
          </rPr>
          <t>cruzv:</t>
        </r>
        <r>
          <rPr>
            <sz val="8"/>
            <color indexed="81"/>
            <rFont val="Tahoma"/>
            <family val="2"/>
          </rPr>
          <t xml:space="preserve">
$310M gross profit per conference call</t>
        </r>
      </text>
    </comment>
    <comment ref="AG31" authorId="0">
      <text>
        <r>
          <rPr>
            <b/>
            <sz val="9"/>
            <color indexed="81"/>
            <rFont val="Tahoma"/>
            <family val="2"/>
          </rPr>
          <t>Doctor, Bob (Research):</t>
        </r>
        <r>
          <rPr>
            <sz val="9"/>
            <color indexed="81"/>
            <rFont val="Tahoma"/>
            <family val="2"/>
          </rPr>
          <t xml:space="preserve">
30% guidance; mid to high teens underlying</t>
        </r>
      </text>
    </comment>
    <comment ref="AL31" authorId="0">
      <text>
        <r>
          <rPr>
            <b/>
            <sz val="9"/>
            <color indexed="81"/>
            <rFont val="Tahoma"/>
            <family val="2"/>
          </rPr>
          <t>Doctor, Bob (Research):</t>
        </r>
        <r>
          <rPr>
            <sz val="9"/>
            <color indexed="81"/>
            <rFont val="Tahoma"/>
            <family val="2"/>
          </rPr>
          <t xml:space="preserve">
22-24%</t>
        </r>
      </text>
    </comment>
    <comment ref="AQ31" authorId="0">
      <text>
        <r>
          <rPr>
            <b/>
            <sz val="9"/>
            <color indexed="81"/>
            <rFont val="Tahoma"/>
            <family val="2"/>
          </rPr>
          <t>Doctor, Bob (Research):</t>
        </r>
        <r>
          <rPr>
            <sz val="9"/>
            <color indexed="81"/>
            <rFont val="Tahoma"/>
            <family val="2"/>
          </rPr>
          <t xml:space="preserve">
high teens</t>
        </r>
      </text>
    </comment>
    <comment ref="AV31" authorId="0">
      <text>
        <r>
          <rPr>
            <b/>
            <sz val="9"/>
            <color indexed="81"/>
            <rFont val="Tahoma"/>
            <family val="2"/>
          </rPr>
          <t>Doctor, Bob (Research):</t>
        </r>
        <r>
          <rPr>
            <sz val="9"/>
            <color indexed="81"/>
            <rFont val="Tahoma"/>
            <family val="2"/>
          </rPr>
          <t xml:space="preserve">
3Q:18-19
2Q:17-19
1Q:13-15
4Q: 11-13</t>
        </r>
      </text>
    </comment>
    <comment ref="BA31" authorId="0">
      <text>
        <r>
          <rPr>
            <b/>
            <sz val="9"/>
            <color indexed="81"/>
            <rFont val="Tahoma"/>
            <family val="2"/>
          </rPr>
          <t>Doctor, Bob (Research):</t>
        </r>
        <r>
          <rPr>
            <sz val="9"/>
            <color indexed="81"/>
            <rFont val="Tahoma"/>
            <family val="2"/>
          </rPr>
          <t xml:space="preserve">
9-11</t>
        </r>
      </text>
    </comment>
    <comment ref="H33" authorId="0">
      <text>
        <r>
          <rPr>
            <b/>
            <sz val="9"/>
            <color indexed="81"/>
            <rFont val="Tahoma"/>
            <family val="2"/>
          </rPr>
          <t>Doctor, Bob (Research):</t>
        </r>
        <r>
          <rPr>
            <sz val="9"/>
            <color indexed="81"/>
            <rFont val="Tahoma"/>
            <family val="2"/>
          </rPr>
          <t xml:space="preserve">
Just NA</t>
        </r>
      </text>
    </comment>
    <comment ref="M33" authorId="0">
      <text>
        <r>
          <rPr>
            <b/>
            <sz val="9"/>
            <color indexed="81"/>
            <rFont val="Tahoma"/>
            <family val="2"/>
          </rPr>
          <t>Doctor, Bob (Research):</t>
        </r>
        <r>
          <rPr>
            <sz val="9"/>
            <color indexed="81"/>
            <rFont val="Tahoma"/>
            <family val="2"/>
          </rPr>
          <t xml:space="preserve">
Just NA</t>
        </r>
      </text>
    </comment>
    <comment ref="R33" authorId="0">
      <text>
        <r>
          <rPr>
            <b/>
            <sz val="9"/>
            <color indexed="81"/>
            <rFont val="Tahoma"/>
            <family val="2"/>
          </rPr>
          <t>Doctor, Bob (Research):</t>
        </r>
        <r>
          <rPr>
            <sz val="9"/>
            <color indexed="81"/>
            <rFont val="Tahoma"/>
            <family val="2"/>
          </rPr>
          <t xml:space="preserve">
621.9</t>
        </r>
      </text>
    </comment>
    <comment ref="AT33" authorId="0">
      <text>
        <r>
          <rPr>
            <b/>
            <sz val="9"/>
            <color indexed="81"/>
            <rFont val="Tahoma"/>
            <family val="2"/>
          </rPr>
          <t>Doctor, Bob (Research):</t>
        </r>
        <r>
          <rPr>
            <sz val="9"/>
            <color indexed="81"/>
            <rFont val="Tahoma"/>
            <family val="2"/>
          </rPr>
          <t xml:space="preserve">
down low to mid teens yoy</t>
        </r>
      </text>
    </comment>
    <comment ref="AG34" authorId="0">
      <text>
        <r>
          <rPr>
            <b/>
            <sz val="9"/>
            <color indexed="81"/>
            <rFont val="Tahoma"/>
            <family val="2"/>
          </rPr>
          <t>Doctor, Bob (Research):</t>
        </r>
        <r>
          <rPr>
            <sz val="9"/>
            <color indexed="81"/>
            <rFont val="Tahoma"/>
            <family val="2"/>
          </rPr>
          <t xml:space="preserve">
MSD growtrh</t>
        </r>
      </text>
    </comment>
    <comment ref="AL34" authorId="0">
      <text>
        <r>
          <rPr>
            <b/>
            <sz val="9"/>
            <color indexed="81"/>
            <rFont val="Tahoma"/>
            <family val="2"/>
          </rPr>
          <t>Doctor, Bob (Research):</t>
        </r>
        <r>
          <rPr>
            <sz val="9"/>
            <color indexed="81"/>
            <rFont val="Tahoma"/>
            <family val="2"/>
          </rPr>
          <t xml:space="preserve">
L-MSD</t>
        </r>
      </text>
    </comment>
    <comment ref="AQ34" authorId="0">
      <text>
        <r>
          <rPr>
            <b/>
            <sz val="9"/>
            <color indexed="81"/>
            <rFont val="Tahoma"/>
            <family val="2"/>
          </rPr>
          <t>Doctor, Bob (Research):</t>
        </r>
        <r>
          <rPr>
            <sz val="9"/>
            <color indexed="81"/>
            <rFont val="Tahoma"/>
            <family val="2"/>
          </rPr>
          <t xml:space="preserve">
MSD-HSD</t>
        </r>
      </text>
    </comment>
    <comment ref="AV34" authorId="0">
      <text>
        <r>
          <rPr>
            <b/>
            <sz val="9"/>
            <color indexed="81"/>
            <rFont val="Tahoma"/>
            <family val="2"/>
          </rPr>
          <t>Doctor, Bob (Research):</t>
        </r>
        <r>
          <rPr>
            <sz val="9"/>
            <color indexed="81"/>
            <rFont val="Tahoma"/>
            <family val="2"/>
          </rPr>
          <t xml:space="preserve">
3Q: flat: low end of 5-7% organic
2Q:flat</t>
        </r>
      </text>
    </comment>
    <comment ref="AW34" authorId="0">
      <text>
        <r>
          <rPr>
            <b/>
            <sz val="9"/>
            <color indexed="81"/>
            <rFont val="Tahoma"/>
            <family val="2"/>
          </rPr>
          <t>Doctor, Bob (Research):</t>
        </r>
        <r>
          <rPr>
            <sz val="9"/>
            <color indexed="81"/>
            <rFont val="Tahoma"/>
            <family val="2"/>
          </rPr>
          <t xml:space="preserve">
down 10-15%</t>
        </r>
      </text>
    </comment>
    <comment ref="BA34" authorId="0">
      <text>
        <r>
          <rPr>
            <b/>
            <sz val="9"/>
            <color indexed="81"/>
            <rFont val="Tahoma"/>
            <family val="2"/>
          </rPr>
          <t>Doctor, Bob (Research):</t>
        </r>
        <r>
          <rPr>
            <sz val="9"/>
            <color indexed="81"/>
            <rFont val="Tahoma"/>
            <family val="2"/>
          </rPr>
          <t xml:space="preserve">
2-4</t>
        </r>
      </text>
    </comment>
    <comment ref="BA35" authorId="0">
      <text>
        <r>
          <rPr>
            <b/>
            <sz val="9"/>
            <color indexed="81"/>
            <rFont val="Tahoma"/>
            <family val="2"/>
          </rPr>
          <t>Doctor, Bob (Research):</t>
        </r>
        <r>
          <rPr>
            <sz val="9"/>
            <color indexed="81"/>
            <rFont val="Tahoma"/>
            <family val="2"/>
          </rPr>
          <t xml:space="preserve">
Cannabis plus digital - ~20mm</t>
        </r>
      </text>
    </comment>
    <comment ref="AG40" authorId="0">
      <text>
        <r>
          <rPr>
            <b/>
            <sz val="9"/>
            <color indexed="81"/>
            <rFont val="Tahoma"/>
            <family val="2"/>
          </rPr>
          <t>Doctor, Bob (Research):</t>
        </r>
        <r>
          <rPr>
            <sz val="9"/>
            <color indexed="81"/>
            <rFont val="Tahoma"/>
            <family val="2"/>
          </rPr>
          <t xml:space="preserve">
32% range</t>
        </r>
      </text>
    </comment>
    <comment ref="AL40" authorId="0">
      <text>
        <r>
          <rPr>
            <b/>
            <sz val="9"/>
            <color indexed="81"/>
            <rFont val="Tahoma"/>
            <family val="2"/>
          </rPr>
          <t>Doctor, Bob (Research):</t>
        </r>
        <r>
          <rPr>
            <sz val="9"/>
            <color indexed="81"/>
            <rFont val="Tahoma"/>
            <family val="2"/>
          </rPr>
          <t xml:space="preserve">
33.8% implied</t>
        </r>
      </text>
    </comment>
    <comment ref="AQ40" authorId="0">
      <text>
        <r>
          <rPr>
            <b/>
            <sz val="9"/>
            <color indexed="81"/>
            <rFont val="Tahoma"/>
            <family val="2"/>
          </rPr>
          <t>Doctor, Bob (Research):</t>
        </r>
        <r>
          <rPr>
            <sz val="9"/>
            <color indexed="81"/>
            <rFont val="Tahoma"/>
            <family val="2"/>
          </rPr>
          <t xml:space="preserve">
35-36%</t>
        </r>
      </text>
    </comment>
    <comment ref="Y45" authorId="3">
      <text>
        <r>
          <rPr>
            <b/>
            <sz val="8"/>
            <color indexed="81"/>
            <rFont val="Tahoma"/>
            <family val="2"/>
          </rPr>
          <t>cruzv:</t>
        </r>
        <r>
          <rPr>
            <sz val="8"/>
            <color indexed="81"/>
            <rFont val="Tahoma"/>
            <family val="2"/>
          </rPr>
          <t xml:space="preserve">
Piedras Negras integration</t>
        </r>
      </text>
    </comment>
    <comment ref="Z45" authorId="3">
      <text>
        <r>
          <rPr>
            <b/>
            <sz val="8"/>
            <color indexed="81"/>
            <rFont val="Tahoma"/>
            <family val="2"/>
          </rPr>
          <t>cruzv:</t>
        </r>
        <r>
          <rPr>
            <sz val="8"/>
            <color indexed="81"/>
            <rFont val="Tahoma"/>
            <family val="2"/>
          </rPr>
          <t xml:space="preserve">
Piedras Negras integration</t>
        </r>
      </text>
    </comment>
    <comment ref="AA45" authorId="3">
      <text>
        <r>
          <rPr>
            <b/>
            <sz val="8"/>
            <color indexed="81"/>
            <rFont val="Tahoma"/>
            <family val="2"/>
          </rPr>
          <t>cruzv:</t>
        </r>
        <r>
          <rPr>
            <sz val="8"/>
            <color indexed="81"/>
            <rFont val="Tahoma"/>
            <family val="2"/>
          </rPr>
          <t xml:space="preserve">
Piedras Negras integration</t>
        </r>
      </text>
    </comment>
    <comment ref="AC45" authorId="3">
      <text>
        <r>
          <rPr>
            <b/>
            <sz val="8"/>
            <color indexed="81"/>
            <rFont val="Tahoma"/>
            <family val="2"/>
          </rPr>
          <t>cruzv:</t>
        </r>
        <r>
          <rPr>
            <sz val="8"/>
            <color indexed="81"/>
            <rFont val="Tahoma"/>
            <family val="2"/>
          </rPr>
          <t xml:space="preserve">
Piedras Negras integration</t>
        </r>
      </text>
    </comment>
    <comment ref="AO46" authorId="0">
      <text>
        <r>
          <rPr>
            <b/>
            <sz val="9"/>
            <color indexed="81"/>
            <rFont val="Tahoma"/>
            <family val="2"/>
          </rPr>
          <t>Doctor, Bob (Research):</t>
        </r>
        <r>
          <rPr>
            <sz val="9"/>
            <color indexed="81"/>
            <rFont val="Tahoma"/>
            <family val="2"/>
          </rPr>
          <t xml:space="preserve">
SGA investment and deleverage</t>
        </r>
      </text>
    </comment>
    <comment ref="Y51" authorId="0">
      <text>
        <r>
          <rPr>
            <b/>
            <sz val="9"/>
            <color indexed="81"/>
            <rFont val="Tahoma"/>
            <family val="2"/>
          </rPr>
          <t>Doctor, Bob (Research):</t>
        </r>
        <r>
          <rPr>
            <sz val="9"/>
            <color indexed="81"/>
            <rFont val="Tahoma"/>
            <family val="2"/>
          </rPr>
          <t xml:space="preserve">
4-5%; orona actually experienced some of the best growth, brand Corona, some
of the best growth that we've seen since the JV was formed</t>
        </r>
      </text>
    </comment>
    <comment ref="AB51" authorId="0">
      <text/>
    </comment>
    <comment ref="AC51" authorId="0">
      <text>
        <r>
          <rPr>
            <b/>
            <sz val="9"/>
            <color indexed="81"/>
            <rFont val="Tahoma"/>
            <family val="2"/>
          </rPr>
          <t>Doctor, Bob (Research):</t>
        </r>
        <r>
          <rPr>
            <sz val="9"/>
            <color indexed="81"/>
            <rFont val="Tahoma"/>
            <family val="2"/>
          </rPr>
          <t xml:space="preserve">
more than 3%</t>
        </r>
      </text>
    </comment>
    <comment ref="Y52" authorId="0">
      <text>
        <r>
          <rPr>
            <b/>
            <sz val="9"/>
            <color indexed="81"/>
            <rFont val="Tahoma"/>
            <family val="2"/>
          </rPr>
          <t>Doctor, Bob (Research):</t>
        </r>
        <r>
          <rPr>
            <sz val="9"/>
            <color indexed="81"/>
            <rFont val="Tahoma"/>
            <family val="2"/>
          </rPr>
          <t xml:space="preserve">
4-5%</t>
        </r>
      </text>
    </comment>
    <comment ref="Z55" authorId="0">
      <text>
        <r>
          <rPr>
            <b/>
            <sz val="9"/>
            <color indexed="81"/>
            <rFont val="Tahoma"/>
            <family val="2"/>
          </rPr>
          <t>Doctor, Bob (Research):</t>
        </r>
        <r>
          <rPr>
            <sz val="9"/>
            <color indexed="81"/>
            <rFont val="Tahoma"/>
            <family val="2"/>
          </rPr>
          <t xml:space="preserve">
greater than 20%</t>
        </r>
      </text>
    </comment>
    <comment ref="Y56" authorId="0">
      <text>
        <r>
          <rPr>
            <b/>
            <sz val="9"/>
            <color indexed="81"/>
            <rFont val="Tahoma"/>
            <family val="2"/>
          </rPr>
          <t>Doctor, Bob (Research):</t>
        </r>
        <r>
          <rPr>
            <sz val="9"/>
            <color indexed="81"/>
            <rFont val="Tahoma"/>
            <family val="2"/>
          </rPr>
          <t xml:space="preserve">
pacifico +34%</t>
        </r>
      </text>
    </comment>
    <comment ref="Z56" authorId="0">
      <text>
        <r>
          <rPr>
            <b/>
            <sz val="9"/>
            <color indexed="81"/>
            <rFont val="Tahoma"/>
            <family val="2"/>
          </rPr>
          <t>Doctor, Bob (Research):</t>
        </r>
        <r>
          <rPr>
            <sz val="9"/>
            <color indexed="81"/>
            <rFont val="Tahoma"/>
            <family val="2"/>
          </rPr>
          <t xml:space="preserve">
more than 30%</t>
        </r>
      </text>
    </comment>
    <comment ref="AB56" authorId="0">
      <text>
        <r>
          <rPr>
            <b/>
            <sz val="9"/>
            <color indexed="81"/>
            <rFont val="Tahoma"/>
            <family val="2"/>
          </rPr>
          <t>Doctor, Bob (Research):</t>
        </r>
        <r>
          <rPr>
            <sz val="9"/>
            <color indexed="81"/>
            <rFont val="Tahoma"/>
            <family val="2"/>
          </rPr>
          <t xml:space="preserve">
more than        35%</t>
        </r>
      </text>
    </comment>
    <comment ref="AC56" authorId="0">
      <text>
        <r>
          <rPr>
            <b/>
            <sz val="9"/>
            <color indexed="81"/>
            <rFont val="Tahoma"/>
            <family val="2"/>
          </rPr>
          <t>Doctor, Bob (Research):</t>
        </r>
        <r>
          <rPr>
            <sz val="9"/>
            <color indexed="81"/>
            <rFont val="Tahoma"/>
            <family val="2"/>
          </rPr>
          <t xml:space="preserve">
more than 35%</t>
        </r>
      </text>
    </comment>
    <comment ref="AD56" authorId="0">
      <text>
        <r>
          <rPr>
            <b/>
            <sz val="9"/>
            <color indexed="81"/>
            <rFont val="Tahoma"/>
            <family val="2"/>
          </rPr>
          <t>Doctor, Bob (Research):</t>
        </r>
        <r>
          <rPr>
            <sz val="9"/>
            <color indexed="81"/>
            <rFont val="Tahoma"/>
            <family val="2"/>
          </rPr>
          <t xml:space="preserve">
more than 40% during the quarter driven by the
continued market expansion of Corona light.</t>
        </r>
      </text>
    </comment>
    <comment ref="AK57" authorId="0">
      <text>
        <r>
          <rPr>
            <b/>
            <sz val="9"/>
            <color indexed="81"/>
            <rFont val="Tahoma"/>
            <family val="2"/>
          </rPr>
          <t>Doctor, Bob (Research):</t>
        </r>
        <r>
          <rPr>
            <sz val="9"/>
            <color indexed="81"/>
            <rFont val="Tahoma"/>
            <family val="2"/>
          </rPr>
          <t xml:space="preserve">
~100 bps from ballast</t>
        </r>
      </text>
    </comment>
    <comment ref="AL57" authorId="0">
      <text>
        <r>
          <rPr>
            <b/>
            <sz val="9"/>
            <color indexed="81"/>
            <rFont val="Tahoma"/>
            <family val="2"/>
          </rPr>
          <t>Doctor, Bob (Research):</t>
        </r>
        <r>
          <rPr>
            <sz val="9"/>
            <color indexed="81"/>
            <rFont val="Tahoma"/>
            <family val="2"/>
          </rPr>
          <t xml:space="preserve">
11-13</t>
        </r>
      </text>
    </comment>
    <comment ref="AM57" authorId="0">
      <text>
        <r>
          <rPr>
            <b/>
            <sz val="9"/>
            <color indexed="81"/>
            <rFont val="Tahoma"/>
            <family val="2"/>
          </rPr>
          <t>Doctor, Bob (Research):</t>
        </r>
        <r>
          <rPr>
            <sz val="9"/>
            <color indexed="81"/>
            <rFont val="Tahoma"/>
            <family val="2"/>
          </rPr>
          <t xml:space="preserve">
70 bps from ballast</t>
        </r>
      </text>
    </comment>
    <comment ref="AR57" authorId="0">
      <text>
        <r>
          <rPr>
            <b/>
            <sz val="9"/>
            <color indexed="81"/>
            <rFont val="Tahoma"/>
            <family val="2"/>
          </rPr>
          <t>Doctor, Bob (Research):</t>
        </r>
        <r>
          <rPr>
            <sz val="9"/>
            <color indexed="81"/>
            <rFont val="Tahoma"/>
            <family val="2"/>
          </rPr>
          <t xml:space="preserve">
~50 bp drag from ballast</t>
        </r>
      </text>
    </comment>
    <comment ref="I76" authorId="3">
      <text>
        <r>
          <rPr>
            <b/>
            <sz val="8"/>
            <color indexed="81"/>
            <rFont val="Tahoma"/>
            <family val="2"/>
          </rPr>
          <t>cruzv:</t>
        </r>
        <r>
          <rPr>
            <sz val="8"/>
            <color indexed="81"/>
            <rFont val="Tahoma"/>
            <family val="2"/>
          </rPr>
          <t xml:space="preserve">
Includes an adjustment for mark West shipment volumes this quarter, so comparable is 14.8M</t>
        </r>
      </text>
    </comment>
    <comment ref="J76" authorId="3">
      <text>
        <r>
          <rPr>
            <b/>
            <sz val="8"/>
            <color indexed="81"/>
            <rFont val="Tahoma"/>
            <family val="2"/>
          </rPr>
          <t>cruzv:</t>
        </r>
        <r>
          <rPr>
            <sz val="8"/>
            <color indexed="81"/>
            <rFont val="Tahoma"/>
            <family val="2"/>
          </rPr>
          <t xml:space="preserve">
Includes an adjustment for mark West shipment volumes this quarter, so comparable is 16.5M</t>
        </r>
      </text>
    </comment>
    <comment ref="K76" authorId="3">
      <text>
        <r>
          <rPr>
            <b/>
            <sz val="8"/>
            <color indexed="81"/>
            <rFont val="Tahoma"/>
            <family val="2"/>
          </rPr>
          <t>cruzv:</t>
        </r>
        <r>
          <rPr>
            <sz val="8"/>
            <color indexed="81"/>
            <rFont val="Tahoma"/>
            <family val="2"/>
          </rPr>
          <t xml:space="preserve">
Includes an adjustment for mark West shipment volumes this quarter, so comparable is 17.0M</t>
        </r>
      </text>
    </comment>
    <comment ref="X76" authorId="3">
      <text>
        <r>
          <rPr>
            <b/>
            <sz val="8"/>
            <color indexed="81"/>
            <rFont val="Tahoma"/>
            <family val="2"/>
          </rPr>
          <t>cruzv:</t>
        </r>
        <r>
          <rPr>
            <sz val="8"/>
            <color indexed="81"/>
            <rFont val="Tahoma"/>
            <family val="2"/>
          </rPr>
          <t xml:space="preserve">
Includes an adjustment for mark West shipment volumes this quarter, so comparable is 14.8M</t>
        </r>
      </text>
    </comment>
    <comment ref="Y76" authorId="3">
      <text>
        <r>
          <rPr>
            <b/>
            <sz val="8"/>
            <color indexed="81"/>
            <rFont val="Tahoma"/>
            <family val="2"/>
          </rPr>
          <t>cruzv:</t>
        </r>
        <r>
          <rPr>
            <sz val="8"/>
            <color indexed="81"/>
            <rFont val="Tahoma"/>
            <family val="2"/>
          </rPr>
          <t xml:space="preserve">
Includes an adjustment for mark West shipment volumes this quarter, so comparable is 16.5M</t>
        </r>
      </text>
    </comment>
    <comment ref="Z76" authorId="3">
      <text>
        <r>
          <rPr>
            <b/>
            <sz val="8"/>
            <color indexed="81"/>
            <rFont val="Tahoma"/>
            <family val="2"/>
          </rPr>
          <t>cruzv:</t>
        </r>
        <r>
          <rPr>
            <sz val="8"/>
            <color indexed="81"/>
            <rFont val="Tahoma"/>
            <family val="2"/>
          </rPr>
          <t xml:space="preserve">
Includes an adjustment for mark West shipment volumes this quarter, so comparable is 17.0M</t>
        </r>
      </text>
    </comment>
  </commentList>
</comments>
</file>

<file path=xl/comments3.xml><?xml version="1.0" encoding="utf-8"?>
<comments xmlns="http://schemas.openxmlformats.org/spreadsheetml/2006/main">
  <authors>
    <author>mukeruma</author>
  </authors>
  <commentList>
    <comment ref="A1" authorId="0">
      <text>
        <r>
          <rPr>
            <b/>
            <sz val="8"/>
            <color indexed="81"/>
            <rFont val="Tahoma"/>
            <family val="2"/>
          </rPr>
          <t>卟䙄_x0001_＀＀鯸亘_x0011_单〱剙偞偟䥒䕃〨착_x0018_＀＀_x0018_＀＀_x0008_＀＀_x0001_＀＀_x0001_＀＀轜尨䀁펗䬖_x0018_䝆ⵌ十幘䝆䑟䉅彔佔䅔⡌⤰_x0018_＀＀_x0018_＀＀_x0008_＀＀_x0001_＀＀_x0001_＀＀＀＀＀＀猀䂦펖䬖_x0013_堡䅒䑕䝞偟䥒䕃丨坏착_x0018_＀＀_x0018_＀＀_x0008_＀＀_x0001_＀＀_x0001_＀＀峻앭닾㿭펖䬖_x0014_䝆ⵌ十幘彐剐䍉⡅低⥗_x0018_＀＀_x0018_＀＀_x0008_＀＀_x0001_＀＀_x0001_＀＀蔟凫Ẹ䀖펗䬖_x0015_䝆ⵌ十幘䝆䍟十彈呓〨착_x0018_＀＀_x0018_＀＀_x0008_＀＀_x0001_＀＀_x0001_＀＀晦晦뙦䁠펗䬖_x001A_䝆ⵌ十幘彐佃彍䡓当問⡔低⥗_x0018_＀＀_x0018_＀＀_x0008_＀＀_x0001_＀＀_x0001_＀＀沋ﯧ⚩䂞鯸亘_x0010_呓幚䝆䵟呋噟䱁䕕_x0018_＀＀_x0018_＀＀_x0008_＀＀_x0001_＀＀_x0001_＀＀㺬䂰걶亅_x0010_呓幚彐剐䍉⡅低⥗_x0018_＀＀_x0018_＀＀_x0008_＀＀_x0001_＀＀_x0001_＀＀炤਽揗䀲䲬_x0014_呓幚卌彄䡓当久䥔奔䅟_x0018_＀＀_x0018_＀＀_x0008_＀＀_x0001_＀＀_x0001_＀＀＀＀䀀▟䆩</t>
        </r>
      </text>
    </comment>
    <comment ref="B1" authorId="0">
      <text>
        <r>
          <rPr>
            <b/>
            <sz val="8"/>
            <color indexed="81"/>
            <rFont val="Tahoma"/>
            <family val="2"/>
          </rPr>
          <t>297</t>
        </r>
      </text>
    </comment>
  </commentList>
</comments>
</file>

<file path=xl/sharedStrings.xml><?xml version="1.0" encoding="utf-8"?>
<sst xmlns="http://schemas.openxmlformats.org/spreadsheetml/2006/main" count="812" uniqueCount="671">
  <si>
    <t>Accrued Expenses and Other Liabilities, Other</t>
  </si>
  <si>
    <t xml:space="preserve">US Household Products and Beverages </t>
  </si>
  <si>
    <t>Dara Mohsenian, CFA</t>
  </si>
  <si>
    <t>(212) 761 - 6575</t>
  </si>
  <si>
    <t>dara.mohsenian@morganstanley.com</t>
  </si>
  <si>
    <t>Constellation Brands</t>
  </si>
  <si>
    <t>FY2013</t>
  </si>
  <si>
    <t>Alternative ROIC:</t>
  </si>
  <si>
    <t>Invested Capital</t>
  </si>
  <si>
    <t>Free Cash Flow Conversion</t>
  </si>
  <si>
    <t>LBO Model Items</t>
  </si>
  <si>
    <t>Other Non-Op Income</t>
  </si>
  <si>
    <t xml:space="preserve">EBITDA </t>
  </si>
  <si>
    <t>Other Adjustments</t>
  </si>
  <si>
    <t>Changes in Working Capital</t>
  </si>
  <si>
    <t>Cash - Beginning Balance</t>
  </si>
  <si>
    <t>FY2011</t>
  </si>
  <si>
    <t>Memo Item: Corporate Expense</t>
  </si>
  <si>
    <t>May-21 E</t>
  </si>
  <si>
    <t>Aug-21 E</t>
  </si>
  <si>
    <t>Nov-22 E</t>
  </si>
  <si>
    <t>Feb-23 E</t>
  </si>
  <si>
    <t>FY2022E</t>
  </si>
  <si>
    <t>Nov-21 E</t>
  </si>
  <si>
    <t>Feb-22 E</t>
  </si>
  <si>
    <t>FY2012</t>
  </si>
  <si>
    <t>US Domestic Shipment Volume</t>
  </si>
  <si>
    <t>US Domestic Focus Brands Shipment Volume</t>
  </si>
  <si>
    <t>US Domestic Depletion Volume Growth</t>
  </si>
  <si>
    <t>Shipment/Depletion Trends</t>
  </si>
  <si>
    <t>US Domestic Focus Brands Depletion Volume Growth</t>
  </si>
  <si>
    <t>YoY Change:</t>
  </si>
  <si>
    <t>US Domestic Shipments - Depletions Vol Growth</t>
  </si>
  <si>
    <t>US Domestic Focus Brands Shipments - Depletions Vol Growth</t>
  </si>
  <si>
    <t>Constellation Brands (STZ)</t>
  </si>
  <si>
    <t>Income Statement</t>
  </si>
  <si>
    <t>FY2004</t>
  </si>
  <si>
    <t>FY2005</t>
  </si>
  <si>
    <t>FY2006</t>
  </si>
  <si>
    <t>FY2007</t>
  </si>
  <si>
    <t>FY2008</t>
  </si>
  <si>
    <t>FY2009</t>
  </si>
  <si>
    <t>FY2018E</t>
  </si>
  <si>
    <t>May-18 E</t>
  </si>
  <si>
    <t>Aug-18 E</t>
  </si>
  <si>
    <t>Nov-18 E</t>
  </si>
  <si>
    <t>Feb-19 E</t>
  </si>
  <si>
    <t>FY2019E</t>
  </si>
  <si>
    <t>May-19 E</t>
  </si>
  <si>
    <t>Aug-19 E</t>
  </si>
  <si>
    <t>Nov-19 E</t>
  </si>
  <si>
    <t>Feb-20 E</t>
  </si>
  <si>
    <t>FY2020E</t>
  </si>
  <si>
    <t>May-20 E</t>
  </si>
  <si>
    <t>Aug-20 E</t>
  </si>
  <si>
    <t>Nov-20 E</t>
  </si>
  <si>
    <t>Feb-21 E</t>
  </si>
  <si>
    <t>FY2021E</t>
  </si>
  <si>
    <t>Net Sales</t>
  </si>
  <si>
    <t>% growth</t>
  </si>
  <si>
    <t>Cost of goods sold</t>
  </si>
  <si>
    <t>% of sales</t>
  </si>
  <si>
    <t>% of Sales Bps Change</t>
  </si>
  <si>
    <t>Gross Profit</t>
  </si>
  <si>
    <t>Gross Margin %</t>
  </si>
  <si>
    <t>Gross Margin Bps Change</t>
  </si>
  <si>
    <t>Selling, General and Administrative Expenses</t>
  </si>
  <si>
    <t>Operating Income</t>
  </si>
  <si>
    <t>Operating Margin</t>
  </si>
  <si>
    <t>Operating Margin Bps Change</t>
  </si>
  <si>
    <t>Equity Income</t>
  </si>
  <si>
    <t>NMF</t>
  </si>
  <si>
    <t>Equity Income from Crown Imports</t>
  </si>
  <si>
    <t>Other Equity Income</t>
  </si>
  <si>
    <t>EBIT (Operating Income + Equity Income)</t>
  </si>
  <si>
    <t>EBIT Margin (Including 50% Crown Import Sales)</t>
  </si>
  <si>
    <t>Memo Item:  D&amp;A</t>
  </si>
  <si>
    <t>Memo Item:  EBITDA (excluding charges)</t>
  </si>
  <si>
    <t>Memo Item:  EBITDA Margin</t>
  </si>
  <si>
    <t>Interest Expense, Net</t>
  </si>
  <si>
    <t>Other Income, Net</t>
  </si>
  <si>
    <t>Pretax Income</t>
  </si>
  <si>
    <t>Taxes</t>
  </si>
  <si>
    <t>Tax Rate</t>
  </si>
  <si>
    <t>Net Income</t>
  </si>
  <si>
    <t xml:space="preserve">EPS Diluted </t>
  </si>
  <si>
    <t>EPS % Growth</t>
  </si>
  <si>
    <t>Mondavi Adverse Grape Cost</t>
  </si>
  <si>
    <t>Inventory Step-up charges</t>
  </si>
  <si>
    <t>Strategic Business Realignment charges</t>
  </si>
  <si>
    <t>Other</t>
  </si>
  <si>
    <t>Total One-Time Charges</t>
  </si>
  <si>
    <t>Reported Net Income</t>
  </si>
  <si>
    <t>Reported Diluted EPS</t>
  </si>
  <si>
    <t>Basic Shares</t>
  </si>
  <si>
    <t>Diluted Shares</t>
  </si>
  <si>
    <t>Share repurchases (in millions)</t>
  </si>
  <si>
    <t>Beginning basic</t>
  </si>
  <si>
    <t>Shares Issued</t>
  </si>
  <si>
    <t>Shares Repurchased</t>
  </si>
  <si>
    <t>Ending basic shares</t>
  </si>
  <si>
    <t>Average basic shares</t>
  </si>
  <si>
    <t>Dilutive Effect of Stock Options</t>
  </si>
  <si>
    <t>Average diluted shares</t>
  </si>
  <si>
    <t>Shares repurchased</t>
  </si>
  <si>
    <t>Balance Sheet</t>
  </si>
  <si>
    <t>Assets</t>
  </si>
  <si>
    <t>Surplus Cash</t>
  </si>
  <si>
    <t>Cash &amp; Equivalents</t>
  </si>
  <si>
    <t>AR, Net</t>
  </si>
  <si>
    <t>Inventories, Net</t>
  </si>
  <si>
    <t>Other Current Assets</t>
  </si>
  <si>
    <t>Total Current Assets</t>
  </si>
  <si>
    <t>PPE, Net</t>
  </si>
  <si>
    <t>Intangible Assets, Net</t>
  </si>
  <si>
    <t>Other Assets</t>
  </si>
  <si>
    <t>Total Assets</t>
  </si>
  <si>
    <t>Liabilities</t>
  </si>
  <si>
    <t>Short-term Debt</t>
  </si>
  <si>
    <t>FY2014</t>
  </si>
  <si>
    <t>Current Portion LTD</t>
  </si>
  <si>
    <t>Accounts Payable</t>
  </si>
  <si>
    <t>US Domestic Organic Shipment Volume</t>
  </si>
  <si>
    <t>US Domestic Organic Focus Brands Shipment Volume</t>
  </si>
  <si>
    <t>Other Accrued Expenses</t>
  </si>
  <si>
    <t>Total Current Liabilities</t>
  </si>
  <si>
    <t>Long-Term Debt</t>
  </si>
  <si>
    <t>Deferred Income Taxes</t>
  </si>
  <si>
    <t>Other Noncurrent Liabilities</t>
  </si>
  <si>
    <t>Total Liabilities</t>
  </si>
  <si>
    <t>Stockholders' Equity</t>
  </si>
  <si>
    <t>Common Stock</t>
  </si>
  <si>
    <t>Preferred Stock</t>
  </si>
  <si>
    <t>Additional Paid-in Capital</t>
  </si>
  <si>
    <t>Retained Earnings</t>
  </si>
  <si>
    <t>Treasury Stock</t>
  </si>
  <si>
    <t>Accumulated Other Comprehensive Income/Loss</t>
  </si>
  <si>
    <t>Total S/E</t>
  </si>
  <si>
    <t>Total Liabilities &amp; S/E</t>
  </si>
  <si>
    <t>Check:</t>
  </si>
  <si>
    <t>Cash Flow</t>
  </si>
  <si>
    <t>Adjustments:</t>
  </si>
  <si>
    <t>Depreciation &amp; Amortization</t>
  </si>
  <si>
    <t>Stock-based Compensation</t>
  </si>
  <si>
    <t>Equity in Earnings of Equity Method Investees (Net of Distributed Earnings)</t>
  </si>
  <si>
    <t>Changes in A/L:</t>
  </si>
  <si>
    <t>Accounts Receivable</t>
  </si>
  <si>
    <t>Inventories</t>
  </si>
  <si>
    <t>Cash Provided by Operations</t>
  </si>
  <si>
    <t>Cash Flows  from Investing Activities:</t>
  </si>
  <si>
    <t>Acquisitions, Net of Cash</t>
  </si>
  <si>
    <t>Additions to PPE</t>
  </si>
  <si>
    <t>Sale of Assets/Businesses, Net of Taxes</t>
  </si>
  <si>
    <t>Cash Used for Investing Activities</t>
  </si>
  <si>
    <t>Cash Flows from Financing Activites:</t>
  </si>
  <si>
    <t>Increase/ Decrease in Long-term Debt</t>
  </si>
  <si>
    <t>Increase/ Decrease in Short-term Debt</t>
  </si>
  <si>
    <t>Issuance/Repurchase of Common/Preferred Stock</t>
  </si>
  <si>
    <t>Preferred Stock Dividends</t>
  </si>
  <si>
    <t>Dividends Paid</t>
  </si>
  <si>
    <t>Cash Used for Financing Activities</t>
  </si>
  <si>
    <t>Cash Provided by Discontinued Operations</t>
  </si>
  <si>
    <t>Exchange Rate Effect on Cash / Other</t>
  </si>
  <si>
    <t>Net Increase (Decrease) in Cash and Cash Equivs</t>
  </si>
  <si>
    <t>Cash and Cash Equivs, Beg</t>
  </si>
  <si>
    <t>Cash and Cash Equivs, End</t>
  </si>
  <si>
    <t>Cash Flow Statistics</t>
  </si>
  <si>
    <t>Cash Flow From Operations</t>
  </si>
  <si>
    <t>Free Cash Flow (Cash Flow Oper. Less Capex)</t>
  </si>
  <si>
    <t>Free Cash Flow Per Share</t>
  </si>
  <si>
    <t>Cash Returned to Shareholders</t>
  </si>
  <si>
    <t>Cash Returned to Shareholders as % Available</t>
  </si>
  <si>
    <t>Ratios</t>
  </si>
  <si>
    <t>COGS % Sales</t>
  </si>
  <si>
    <t>SGA % Sales</t>
  </si>
  <si>
    <t>Taxes % Pretax Income</t>
  </si>
  <si>
    <t>Cash % of Sales</t>
  </si>
  <si>
    <t>AR % of Sales</t>
  </si>
  <si>
    <t>AR Days</t>
  </si>
  <si>
    <t>Inventories % COGS</t>
  </si>
  <si>
    <t>Inventory Days</t>
  </si>
  <si>
    <t>Other CA % Sales</t>
  </si>
  <si>
    <t>Capex, net of dispositions</t>
  </si>
  <si>
    <t>Addition to PPE as % Sales</t>
  </si>
  <si>
    <t>Depreciation% opening PPE</t>
  </si>
  <si>
    <t>Depreciation% Net PPE</t>
  </si>
  <si>
    <t>AP % COGS</t>
  </si>
  <si>
    <t>AP Days</t>
  </si>
  <si>
    <t>Other Liabilities % Sales</t>
  </si>
  <si>
    <t>Share Repurchase</t>
  </si>
  <si>
    <t>Price</t>
  </si>
  <si>
    <t>-</t>
  </si>
  <si>
    <t>Cash outflow</t>
  </si>
  <si>
    <t>Total Debt</t>
  </si>
  <si>
    <t>Cash</t>
  </si>
  <si>
    <t>Net Debt</t>
  </si>
  <si>
    <t>Interest Rate on Debt</t>
  </si>
  <si>
    <t>Interest Rate on Cash</t>
  </si>
  <si>
    <t>Opening Net Debt</t>
  </si>
  <si>
    <t>Changes in Net Debt from Cashflow</t>
  </si>
  <si>
    <t>Closing Net Debt</t>
  </si>
  <si>
    <t>Net Debt/ LTM EBITDA</t>
  </si>
  <si>
    <t>Capital Employed</t>
  </si>
  <si>
    <t>ROIC</t>
  </si>
  <si>
    <t>Operating Profit</t>
  </si>
  <si>
    <t>Tax rate</t>
  </si>
  <si>
    <t>NOPAT</t>
  </si>
  <si>
    <t>Cash Conversion Cycle</t>
  </si>
  <si>
    <t>Days Inventory</t>
  </si>
  <si>
    <t>Days Recievable</t>
  </si>
  <si>
    <t>Days Payable</t>
  </si>
  <si>
    <t>Organic Sales Growth</t>
  </si>
  <si>
    <t>Currency Impact on Revenue</t>
  </si>
  <si>
    <t xml:space="preserve">Unrecored Goodwill from poolings, write-offs, etc. </t>
  </si>
  <si>
    <t>North America Revenue</t>
  </si>
  <si>
    <t>NA</t>
  </si>
  <si>
    <t>Revenue Europe</t>
  </si>
  <si>
    <t>Acquistions and Disposals</t>
  </si>
  <si>
    <t>Organic LC Sales Growth</t>
  </si>
  <si>
    <t>FX Impact</t>
  </si>
  <si>
    <t>% Growth</t>
  </si>
  <si>
    <t xml:space="preserve"> </t>
  </si>
  <si>
    <t>FY2010</t>
  </si>
  <si>
    <t>Total</t>
  </si>
  <si>
    <t>Beer</t>
  </si>
  <si>
    <t>STZ Share</t>
  </si>
  <si>
    <t>Company</t>
  </si>
  <si>
    <t>Capex</t>
  </si>
  <si>
    <t>(212) 761 - 7250</t>
  </si>
  <si>
    <t>bob.doctor@morganstanley.com</t>
  </si>
  <si>
    <t>SOS</t>
  </si>
  <si>
    <t>USD</t>
  </si>
  <si>
    <t>STZ.N</t>
  </si>
  <si>
    <t>Constellation Brands Inc</t>
  </si>
  <si>
    <t>Currency</t>
  </si>
  <si>
    <t>Current Stock Price</t>
  </si>
  <si>
    <t>Volume</t>
  </si>
  <si>
    <t>Count</t>
  </si>
  <si>
    <t>Consolidated Shipment Volume</t>
  </si>
  <si>
    <t>Consolidated Organic Shipment Volume</t>
  </si>
  <si>
    <t>This sheet contains Factset binary data for use with this workbook's =FDS codes.  Modifying the worksheet's contents may damage the workbook's =FDS functionality.</t>
  </si>
  <si>
    <t>Hectoliters</t>
  </si>
  <si>
    <t>Wine &amp; Spirits</t>
  </si>
  <si>
    <t>% of Total</t>
  </si>
  <si>
    <t>May-22 E</t>
  </si>
  <si>
    <t>Aug-22 E</t>
  </si>
  <si>
    <t>FY2023E</t>
  </si>
  <si>
    <t>Working Capital Change</t>
  </si>
  <si>
    <t>LTM EBITDA/Interest</t>
  </si>
  <si>
    <t>Advertising Expense</t>
  </si>
  <si>
    <t>Corona (all-in)</t>
  </si>
  <si>
    <t>Corona extra</t>
  </si>
  <si>
    <t>Corona light</t>
  </si>
  <si>
    <t>Modelo Especial</t>
  </si>
  <si>
    <t>Pacifico</t>
  </si>
  <si>
    <t>Draft</t>
  </si>
  <si>
    <t>Total Sales</t>
  </si>
  <si>
    <t>Two-Year Avg.</t>
  </si>
  <si>
    <t>Acq/Div</t>
  </si>
  <si>
    <t>% Sales Growth</t>
  </si>
  <si>
    <t>Beer Sales</t>
  </si>
  <si>
    <t>Segment - Revenue</t>
  </si>
  <si>
    <t>Segment - Operating Profit</t>
  </si>
  <si>
    <t>Change in Operating Margin</t>
  </si>
  <si>
    <t>Corporate</t>
  </si>
  <si>
    <t xml:space="preserve">Beer </t>
  </si>
  <si>
    <t>Wine &amp; Spirits Sales</t>
  </si>
  <si>
    <t>Victoria</t>
  </si>
  <si>
    <t>BEER</t>
  </si>
  <si>
    <r>
      <rPr>
        <b/>
        <u/>
        <sz val="10"/>
        <color indexed="8"/>
        <rFont val="Arial"/>
        <family val="2"/>
      </rPr>
      <t>WINE</t>
    </r>
    <r>
      <rPr>
        <i/>
        <sz val="10"/>
        <color indexed="8"/>
        <rFont val="Arial"/>
        <family val="2"/>
      </rPr>
      <t xml:space="preserve"> in millions, branded product, 9-liter case equivalents</t>
    </r>
  </si>
  <si>
    <t>Bob Doctor, CFA</t>
  </si>
  <si>
    <t>Other (includes O-I capex contribution)</t>
  </si>
  <si>
    <t>Cash taxes</t>
  </si>
  <si>
    <t>Cash Tax Rate</t>
  </si>
  <si>
    <t>Cash EPS</t>
  </si>
  <si>
    <t>Minority Interest</t>
  </si>
  <si>
    <t>Payout Ratio</t>
  </si>
  <si>
    <t>Total Beer Depletions</t>
  </si>
  <si>
    <t>yoy % chg.</t>
  </si>
  <si>
    <t>Net Income (before Minority)</t>
  </si>
  <si>
    <t>Est. Wtd. Strike Price on Option Proceeds</t>
  </si>
  <si>
    <t>Est. Options Proceeds</t>
  </si>
  <si>
    <t>Net Repurchases</t>
  </si>
  <si>
    <t>LSD</t>
  </si>
  <si>
    <t>FY2015</t>
  </si>
  <si>
    <t>FY2016</t>
  </si>
  <si>
    <t>Ballast Volume</t>
  </si>
  <si>
    <t>Total Beer Volume</t>
  </si>
  <si>
    <t>Shipment Volume (ex ballast)</t>
  </si>
  <si>
    <t>FY2017</t>
  </si>
  <si>
    <t>Filippo Falorni, CFA</t>
  </si>
  <si>
    <t>Scott Rotondi</t>
  </si>
  <si>
    <t>(212) 761 - 9196</t>
  </si>
  <si>
    <t>(212) 296 - 4965</t>
  </si>
  <si>
    <t>filippo.falorni@morganstanley.com</t>
  </si>
  <si>
    <t>scott.rotondi@morganstanley.com</t>
  </si>
  <si>
    <t>FY2018</t>
  </si>
  <si>
    <t>Research</t>
  </si>
  <si>
    <t>MSA12783</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</si>
  <si>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</si>
  <si>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</si>
  <si>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</si>
  <si>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</si>
  <si>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</si>
  <si>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</si>
  <si>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</si>
  <si>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Dara Mohsenian</t>
  </si>
  <si>
    <t>Date: 09 Apr 2018</t>
  </si>
  <si>
    <t>Ticker: STZ.N</t>
  </si>
  <si>
    <t>Stock Rating: Overweight</t>
  </si>
  <si>
    <t>Industry: Beverages</t>
  </si>
  <si>
    <t>Industry View: In-Line</t>
  </si>
  <si>
    <t>Price as of 09 Apr 2018: 227.19</t>
  </si>
  <si>
    <t>Target Price: 262</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</si>
  <si>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</si>
  <si>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</si>
  <si>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</si>
  <si>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</si>
  <si>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Constellation Brands Inc.</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</si>
  <si>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</si>
  <si>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</si>
  <si>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</si>
  <si>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</si>
  <si>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</si>
  <si>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</si>
  <si>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</si>
  <si>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</si>
  <si>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</si>
  <si>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</si>
  <si>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</si>
  <si>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</si>
  <si>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</si>
  <si>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</si>
  <si>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</si>
  <si>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</si>
  <si>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</si>
  <si>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</si>
  <si>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</si>
  <si>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</si>
  <si>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</si>
  <si>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</si>
  <si>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</si>
  <si>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</si>
  <si>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</si>
  <si>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</si>
  <si>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</si>
  <si>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</si>
  <si>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</si>
  <si>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</si>
  <si>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</si>
  <si>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</si>
  <si>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</si>
  <si>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</si>
  <si>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</si>
  <si>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</si>
  <si>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</si>
  <si>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</si>
  <si>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</si>
  <si>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</si>
  <si>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</si>
  <si>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</si>
  <si>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</si>
  <si>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</si>
  <si>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</si>
  <si>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</si>
  <si>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</si>
  <si>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</si>
  <si>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</si>
  <si>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</si>
  <si>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</si>
  <si>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</si>
  <si>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</si>
  <si>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</si>
  <si>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</si>
  <si>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</si>
  <si>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</si>
  <si>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</si>
  <si>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</si>
  <si>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</si>
  <si>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</si>
  <si>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</si>
  <si>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</si>
  <si>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</si>
  <si>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</si>
  <si>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</si>
  <si>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</si>
  <si>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</si>
  <si>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</si>
  <si>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</si>
  <si>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</si>
  <si>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</si>
  <si>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</si>
  <si>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</si>
  <si>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</si>
  <si>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</si>
  <si>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</si>
  <si>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</si>
  <si>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</si>
  <si>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</si>
  <si>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</si>
  <si>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</si>
  <si>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</si>
  <si>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</si>
  <si>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</si>
  <si>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</si>
  <si>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</si>
  <si>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</si>
  <si>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</si>
  <si>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</si>
  <si>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</si>
  <si>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</si>
  <si>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</si>
  <si>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</si>
  <si>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</si>
  <si>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</si>
  <si>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</si>
  <si>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</si>
  <si>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</si>
  <si>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</si>
  <si>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</si>
  <si>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</si>
  <si>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</si>
  <si>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</si>
  <si>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</si>
  <si>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</si>
  <si>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</si>
  <si>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</si>
  <si>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</si>
  <si>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</si>
  <si>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</si>
  <si>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</si>
  <si>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</si>
  <si>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</si>
  <si>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</si>
  <si>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</si>
  <si>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</si>
  <si>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</si>
  <si>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</si>
  <si>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</si>
  <si>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</si>
  <si>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</si>
  <si>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</si>
  <si>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</si>
  <si>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</si>
  <si>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</si>
  <si>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</si>
  <si>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</si>
  <si>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</si>
  <si>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</si>
  <si>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</si>
  <si>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</si>
  <si>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</si>
  <si>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</si>
  <si>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</si>
  <si>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</si>
  <si>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</si>
  <si>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</si>
  <si>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</si>
  <si>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</si>
  <si>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</si>
  <si>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</si>
  <si>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</si>
  <si>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</si>
  <si>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</si>
  <si>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</si>
  <si>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</si>
  <si>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</si>
  <si>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</si>
  <si>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</si>
  <si>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</si>
  <si>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</si>
  <si>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</si>
  <si>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</si>
  <si>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</si>
  <si>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</si>
  <si>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</si>
  <si>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</si>
  <si>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</si>
  <si>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</si>
  <si>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</si>
  <si>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</si>
  <si>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</si>
  <si>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</si>
  <si>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</si>
  <si>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</si>
  <si>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</si>
  <si>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</si>
  <si>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</si>
  <si>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</si>
  <si>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</si>
  <si>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</si>
  <si>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</si>
  <si>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</si>
  <si>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</si>
  <si>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Constellation Brands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</si>
  <si>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</si>
  <si>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</si>
  <si>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</si>
  <si>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</si>
  <si>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</si>
  <si>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</si>
  <si>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</si>
  <si>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</si>
  <si>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</si>
  <si>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</si>
  <si>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</si>
  <si>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</si>
  <si>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</si>
  <si>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</si>
  <si>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</si>
  <si>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</si>
  <si>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</si>
  <si>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</si>
  <si>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</si>
  <si>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</si>
  <si>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</si>
  <si>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</si>
  <si>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</si>
  <si>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</si>
  <si>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</si>
  <si>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</si>
  <si>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</si>
  <si>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</si>
  <si>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</si>
  <si>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</si>
  <si>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</si>
  <si>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</si>
  <si>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</si>
  <si>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</si>
  <si>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</si>
  <si>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</si>
  <si>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</si>
  <si>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</si>
  <si>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</si>
  <si>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</si>
  <si>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</si>
  <si>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</si>
  <si>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</si>
  <si>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</si>
  <si>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</si>
  <si>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</si>
  <si>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</si>
  <si>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</si>
  <si>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</si>
  <si>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</si>
  <si>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</si>
  <si>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</si>
  <si>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</si>
  <si>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</si>
  <si>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</si>
  <si>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</si>
  <si>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</si>
  <si>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</si>
  <si>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</si>
  <si>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</si>
  <si>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</si>
  <si>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</si>
  <si>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</si>
  <si>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</si>
  <si>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</si>
  <si>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</si>
  <si>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</si>
  <si>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</si>
  <si>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Constellation Brands Inc.</t>
  </si>
  <si>
    <t>Within the last 12 months, Morgan Stanley has provided or is providing investment banking services to,</t>
  </si>
  <si>
    <t>or has an investment banking client relationship with, the following company: Constellation Brands Inc.</t>
  </si>
  <si>
    <t>Within the last 12 months, Morgan Stanley has received compensation for products and services other than</t>
  </si>
  <si>
    <t>investment banking services from Constellation Brands Inc.</t>
  </si>
  <si>
    <t>In the next 3 months, Morgan Stanley expects to receive or intends to seek compensation for investment</t>
  </si>
  <si>
    <t>banking services from Constellation Brands Inc.</t>
  </si>
  <si>
    <t>As of March 29, 2018, Morgan Stanley beneficially owned 1% or more of a class of common equity</t>
  </si>
  <si>
    <t>securities of the following companies covered in Morgan Stanley Research: Constellation Brands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</si>
  <si>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</si>
  <si>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</si>
  <si>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</si>
  <si>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</si>
  <si>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</si>
  <si>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Dara Mohsenian,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</si>
  <si>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</si>
  <si>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</si>
  <si>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</si>
  <si>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</si>
  <si>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</si>
  <si>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</si>
  <si>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</si>
  <si>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</si>
  <si>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</si>
  <si>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</si>
  <si>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</si>
  <si>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</si>
  <si>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</si>
  <si>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</si>
  <si>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</si>
  <si>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</si>
  <si>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</si>
  <si>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</si>
  <si>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</si>
  <si>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</si>
  <si>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</si>
  <si>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</si>
  <si>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</si>
  <si>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</si>
  <si>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</si>
  <si>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</si>
  <si>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</si>
  <si>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</si>
  <si>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</si>
  <si>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</si>
  <si>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</si>
  <si>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</si>
  <si>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</si>
  <si>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</si>
  <si>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</si>
  <si>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</si>
  <si>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</si>
  <si>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</si>
  <si>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</si>
  <si>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</si>
  <si>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</si>
  <si>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</si>
  <si>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</si>
  <si>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</si>
  <si>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</si>
  <si>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</si>
  <si>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</si>
  <si>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</si>
  <si>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</si>
  <si>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</si>
  <si>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</si>
  <si>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</si>
  <si>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</si>
  <si>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</si>
  <si>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</si>
  <si>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</si>
  <si>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</si>
  <si>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</si>
  <si>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</si>
  <si>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</si>
  <si>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</si>
  <si>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</si>
  <si>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</si>
  <si>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</si>
  <si>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</si>
  <si>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</si>
  <si>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</si>
  <si>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</si>
  <si>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Quarterly Update</t>
  </si>
  <si>
    <t>NorthAmerica</t>
  </si>
  <si>
    <t>rotonsco</t>
  </si>
  <si>
    <t>21036P108</t>
  </si>
  <si>
    <t>L:\CONSUMER\STAPLES\STZ\Model\Published Model\STZ_Model.xlsm</t>
  </si>
  <si>
    <t>[BRO MSA]</t>
  </si>
  <si>
    <t>[PRODUCT MODEL]</t>
  </si>
  <si>
    <t>[EMAIL_ALERT YES]</t>
  </si>
  <si>
    <t>[DISCIPLINE Company]</t>
  </si>
  <si>
    <t>[SUPPRESSED NO]</t>
  </si>
  <si>
    <t>[DOCDAT 2018-04-09]</t>
  </si>
  <si>
    <t>[DOCTIME 08:31]</t>
  </si>
  <si>
    <t>[PSYM STZ.N(S&amp;P) (None)]</t>
  </si>
  <si>
    <t>[COU 1]</t>
  </si>
  <si>
    <t>[ANA ]</t>
  </si>
  <si>
    <t>[HL STZ.N Model]</t>
  </si>
  <si>
    <t>[IND BEVALC]</t>
  </si>
  <si>
    <t>[PANA MSA12783]</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</si>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</sst>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6" formatCode="&quot;$&quot;#,##0_);[Red]\(&quot;$&quot;#,##0\)"/>
    <numFmt numFmtId="8" formatCode="&quot;$&quot;#,##0.00_);[Red]\(&quot;$&quot;#,##0.00\)"/>
    <numFmt numFmtId="41" formatCode="_(* #,##0_);_(* \(#,##0\);_(* &quot;-&quot;_);_(@_)"/>
    <numFmt numFmtId="44" formatCode="_(&quot;$&quot;* #,##0.00_);_(&quot;$&quot;* \(#,##0.00\);_(&quot;$&quot;* &quot;-&quot;??_);_(@_)"/>
    <numFmt numFmtId="43" formatCode="_(* #,##0.00_);_(* \(#,##0.00\);_(* &quot;-&quot;??_);_(@_)"/>
    <numFmt numFmtId="164" formatCode="0.0%"/>
    <numFmt numFmtId="165" formatCode="0.0"/>
    <numFmt numFmtId="166" formatCode="#,##0.0"/>
    <numFmt numFmtId="167" formatCode="0&quot;bp&quot;"/>
    <numFmt numFmtId="168" formatCode="0.00000"/>
    <numFmt numFmtId="169" formatCode="&quot;$&quot;#,##0.0_);[Red]\(&quot;$&quot;#,##0.0\)"/>
    <numFmt numFmtId="170" formatCode="&quot;$&quot;#,##0.00"/>
    <numFmt numFmtId="171" formatCode="_(* #,##0_);_(* \(#,##0\);_(* &quot;-&quot;??_);_(@_)"/>
    <numFmt numFmtId="172" formatCode="_(* #,##0.0_);_(* \(#,##0.0\);_(* &quot;-&quot;??_);_(@_)"/>
    <numFmt numFmtId="173" formatCode="&quot;$&quot;#,##0.0"/>
    <numFmt numFmtId="174" formatCode="0.0&quot;x&quot;"/>
    <numFmt numFmtId="175" formatCode="0.0_);\(0.0\)"/>
    <numFmt numFmtId="176" formatCode="0.000"/>
    <numFmt numFmtId="177" formatCode="_(* #,##0.0000_);_(* \(#,##0.0000\);_(* &quot;-&quot;??_);_(@_)"/>
    <numFmt numFmtId="178" formatCode="_([$€-2]* #,##0.00_);_([$€-2]* \(#,##0.00\);_([$€-2]* &quot;-&quot;??_)"/>
    <numFmt numFmtId="179" formatCode="0.0000"/>
    <numFmt numFmtId="180" formatCode="&quot;$&quot;#,##0.000_);[Red]\(&quot;$&quot;#,##0.000\)"/>
    <numFmt numFmtId="181" formatCode="#,##0;\(#,##0\)"/>
    <numFmt numFmtId="182" formatCode="0.000%"/>
    <numFmt numFmtId="183" formatCode="#,##0.000"/>
    <numFmt numFmtId="184" formatCode="0.0000%"/>
    <numFmt numFmtId="185" formatCode="_(* #,##0.000_);_(* \(#,##0.000\);_(* &quot;-&quot;??_);_(@_)"/>
    <numFmt numFmtId="186" formatCode="0.000000000000"/>
    <numFmt numFmtId="187" formatCode="0.0000000000000000%"/>
    <numFmt numFmtId="188" formatCode="#,##0.00000"/>
    <numFmt numFmtId="189" formatCode="0.00&quot;x&quot;"/>
    <numFmt numFmtId="190" formatCode="0.00000000000"/>
    <numFmt numFmtId="191" formatCode="mm/dd/yy\ hh:mm"/>
  </numFmts>
  <fonts count="91" x14ac:knownFonts="1">
    <font>
      <sz val="10"/>
      <name val="Arial"/>
    </font>
    <font>
      <sz val="10"/>
      <name val="Arial"/>
      <family val="2"/>
    </font>
    <font>
      <u/>
      <sz val="10"/>
      <color indexed="12"/>
      <name val="Arial"/>
      <family val="2"/>
    </font>
    <font>
      <sz val="8"/>
      <name val="Arial"/>
      <family val="2"/>
    </font>
    <font>
      <b/>
      <u/>
      <sz val="10"/>
      <name val="Arial"/>
      <family val="2"/>
    </font>
    <font>
      <sz val="10"/>
      <color indexed="12"/>
      <name val="Arial"/>
      <family val="2"/>
    </font>
    <font>
      <sz val="10"/>
      <name val="Arial"/>
      <family val="2"/>
    </font>
    <font>
      <sz val="10"/>
      <color indexed="9"/>
      <name val="Arial"/>
      <family val="2"/>
    </font>
    <font>
      <b/>
      <sz val="10"/>
      <name val="Arial"/>
      <family val="2"/>
    </font>
    <font>
      <b/>
      <sz val="10"/>
      <color indexed="9"/>
      <name val="Arial"/>
      <family val="2"/>
    </font>
    <font>
      <sz val="10"/>
      <color indexed="12"/>
      <name val="Arial"/>
      <family val="2"/>
    </font>
    <font>
      <sz val="8"/>
      <color indexed="12"/>
      <name val="Arial"/>
      <family val="2"/>
    </font>
    <font>
      <sz val="11"/>
      <name val="Arial"/>
      <family val="2"/>
    </font>
    <font>
      <b/>
      <sz val="8"/>
      <color indexed="8"/>
      <name val="tahoma"/>
      <family val="2"/>
    </font>
    <font>
      <sz val="8"/>
      <color indexed="8"/>
      <name val="tahoma"/>
      <family val="2"/>
    </font>
    <font>
      <sz val="8"/>
      <color indexed="81"/>
      <name val="Tahoma"/>
      <family val="2"/>
    </font>
    <font>
      <b/>
      <sz val="8"/>
      <color indexed="81"/>
      <name val="Tahoma"/>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0"/>
      <color indexed="10"/>
      <name val="Arial"/>
      <family val="2"/>
    </font>
    <font>
      <sz val="10"/>
      <color indexed="9"/>
      <name val="Arial"/>
      <family val="2"/>
    </font>
    <font>
      <b/>
      <sz val="12"/>
      <color indexed="9"/>
      <name val="Arial"/>
      <family val="2"/>
    </font>
    <font>
      <sz val="12"/>
      <color indexed="9"/>
      <name val="Arial"/>
      <family val="2"/>
    </font>
    <font>
      <sz val="12"/>
      <color indexed="9"/>
      <name val="Arial"/>
      <family val="2"/>
    </font>
    <font>
      <b/>
      <sz val="14"/>
      <color indexed="9"/>
      <name val="Arial"/>
      <family val="2"/>
    </font>
    <font>
      <i/>
      <sz val="10"/>
      <color indexed="9"/>
      <name val="Arial"/>
      <family val="2"/>
    </font>
    <font>
      <u/>
      <sz val="10"/>
      <color indexed="9"/>
      <name val="Arial"/>
      <family val="2"/>
    </font>
    <font>
      <b/>
      <sz val="10"/>
      <color indexed="9"/>
      <name val="Arial"/>
      <family val="2"/>
    </font>
    <font>
      <b/>
      <i/>
      <sz val="11"/>
      <color indexed="9"/>
      <name val="Arial"/>
      <family val="2"/>
    </font>
    <font>
      <b/>
      <i/>
      <sz val="10"/>
      <color indexed="9"/>
      <name val="Arial"/>
      <family val="2"/>
    </font>
    <font>
      <b/>
      <u/>
      <sz val="10"/>
      <color indexed="9"/>
      <name val="Arial"/>
      <family val="2"/>
    </font>
    <font>
      <i/>
      <sz val="11"/>
      <color indexed="9"/>
      <name val="Arial"/>
      <family val="2"/>
    </font>
    <font>
      <sz val="10"/>
      <color indexed="8"/>
      <name val="MS Sans Serif"/>
      <family val="2"/>
    </font>
    <font>
      <sz val="8"/>
      <color indexed="17"/>
      <name val="Arial"/>
      <family val="2"/>
    </font>
    <font>
      <i/>
      <sz val="10"/>
      <color indexed="8"/>
      <name val="Arial"/>
      <family val="2"/>
    </font>
    <font>
      <u/>
      <sz val="10"/>
      <color indexed="8"/>
      <name val="Arial"/>
      <family val="2"/>
    </font>
    <font>
      <b/>
      <sz val="10"/>
      <color indexed="8"/>
      <name val="Arial"/>
      <family val="2"/>
    </font>
    <font>
      <sz val="10"/>
      <color indexed="8"/>
      <name val="Arial"/>
      <family val="2"/>
    </font>
    <font>
      <u/>
      <sz val="10"/>
      <name val="Arial"/>
      <family val="2"/>
    </font>
    <font>
      <sz val="10"/>
      <color indexed="14"/>
      <name val="Arial"/>
      <family val="2"/>
    </font>
    <font>
      <b/>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i/>
      <sz val="10"/>
      <name val="Arial"/>
      <family val="2"/>
    </font>
    <font>
      <sz val="10"/>
      <color indexed="10"/>
      <name val="Arial"/>
      <family val="2"/>
    </font>
    <font>
      <b/>
      <sz val="10"/>
      <color indexed="10"/>
      <name val="Arial"/>
      <family val="2"/>
    </font>
    <font>
      <b/>
      <u/>
      <sz val="10"/>
      <color indexed="8"/>
      <name val="Arial"/>
      <family val="2"/>
    </font>
    <font>
      <b/>
      <sz val="10"/>
      <color indexed="17"/>
      <name val="Arial"/>
      <family val="2"/>
    </font>
    <font>
      <b/>
      <sz val="10"/>
      <color indexed="23"/>
      <name val="Arial"/>
      <family val="2"/>
    </font>
    <font>
      <i/>
      <sz val="10"/>
      <color indexed="10"/>
      <name val="Arial"/>
      <family val="2"/>
    </font>
    <font>
      <i/>
      <sz val="10"/>
      <color indexed="14"/>
      <name val="Arial"/>
      <family val="2"/>
    </font>
    <font>
      <b/>
      <i/>
      <sz val="10"/>
      <color indexed="8"/>
      <name val="Arial"/>
      <family val="2"/>
    </font>
    <font>
      <sz val="9"/>
      <name val="Times New Roman"/>
      <family val="1"/>
    </font>
    <font>
      <sz val="9"/>
      <color indexed="81"/>
      <name val="Tahoma"/>
      <family val="2"/>
    </font>
    <font>
      <b/>
      <sz val="9"/>
      <color indexed="81"/>
      <name val="Tahoma"/>
      <family val="2"/>
    </font>
    <font>
      <sz val="10"/>
      <name val="Arial"/>
      <family val="2"/>
    </font>
    <font>
      <sz val="10"/>
      <name val="Arial"/>
      <family val="2"/>
    </font>
    <font>
      <b/>
      <sz val="10"/>
      <color indexed="14"/>
      <name val="Arial"/>
      <family val="2"/>
    </font>
    <font>
      <sz val="10"/>
      <name val="Arial"/>
      <family val="2"/>
    </font>
    <font>
      <b/>
      <sz val="10"/>
      <color rgb="FFFF0000"/>
      <name val="Arial"/>
      <family val="2"/>
    </font>
    <font>
      <sz val="10"/>
      <color rgb="FF0000FF"/>
      <name val="Arial"/>
      <family val="2"/>
    </font>
    <font>
      <sz val="10"/>
      <color rgb="FFFF0000"/>
      <name val="Arial"/>
      <family val="2"/>
    </font>
    <font>
      <sz val="10"/>
      <color theme="1"/>
      <name val="Arial"/>
      <family val="2"/>
    </font>
    <font>
      <sz val="10"/>
      <color theme="0"/>
      <name val="Arial"/>
      <family val="2"/>
    </font>
    <font>
      <b/>
      <sz val="10"/>
      <color theme="0"/>
      <name val="Arial"/>
      <family val="2"/>
    </font>
    <font>
      <sz val="10"/>
      <color rgb="FF00B050"/>
      <name val="Arial"/>
      <family val="2"/>
    </font>
    <font>
      <b/>
      <sz val="10"/>
      <color theme="1"/>
      <name val="Arial"/>
      <family val="2"/>
    </font>
    <font>
      <sz val="10"/>
      <color theme="3" tint="-0.499984740745262"/>
      <name val="Arial"/>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s>
  <fills count="24">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26"/>
        <bgColor indexed="64"/>
      </patternFill>
    </fill>
    <fill>
      <patternFill patternType="solid">
        <fgColor indexed="43"/>
        <bgColor indexed="64"/>
      </patternFill>
    </fill>
    <fill>
      <patternFill patternType="solid">
        <fgColor indexed="44"/>
        <bgColor indexed="64"/>
      </patternFill>
    </fill>
    <fill>
      <patternFill patternType="solid">
        <fgColor indexed="9"/>
        <bgColor indexed="64"/>
      </patternFill>
    </fill>
    <fill>
      <patternFill patternType="solid">
        <fgColor indexed="8"/>
        <bgColor indexed="64"/>
      </patternFill>
    </fill>
    <fill>
      <patternFill patternType="solid">
        <fgColor theme="0"/>
        <bgColor indexed="64"/>
      </patternFill>
    </fill>
    <fill>
      <patternFill patternType="solid">
        <fgColor rgb="FFFFFF00"/>
        <bgColor indexed="64"/>
      </patternFill>
    </fill>
    <fill>
      <patternFill patternType="solid">
        <fgColor rgb="FF99CCFF"/>
        <bgColor indexed="64"/>
      </patternFill>
    </fill>
    <fill>
      <patternFill patternType="solid">
        <fgColor indexed="65"/>
        <bgColor indexed="64"/>
      </patternFill>
    </fill>
  </fills>
  <borders count="2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diagonal/>
    </border>
    <border>
      <left/>
      <right/>
      <top style="thin">
        <color indexed="64"/>
      </top>
      <bottom style="thin">
        <color indexed="64"/>
      </bottom>
      <diagonal/>
    </border>
    <border>
      <left/>
      <right/>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theme="0"/>
      </right>
      <top/>
      <bottom/>
      <diagonal/>
    </border>
    <border>
      <left style="thin">
        <color theme="0"/>
      </left>
      <right style="thin">
        <color theme="0"/>
      </right>
      <top style="thin">
        <color indexed="64"/>
      </top>
      <bottom/>
      <diagonal/>
    </border>
    <border>
      <left style="thin">
        <color theme="0"/>
      </left>
      <right style="thin">
        <color theme="0"/>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0">
    <xf numFmtId="0" fontId="0" fillId="0" borderId="0"/>
    <xf numFmtId="0" fontId="1" fillId="0" borderId="0"/>
    <xf numFmtId="0" fontId="35"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7" fillId="0" borderId="0"/>
    <xf numFmtId="0" fontId="17" fillId="0" borderId="0"/>
    <xf numFmtId="0" fontId="44" fillId="2" borderId="0" applyNumberFormat="0" applyBorder="0" applyAlignment="0" applyProtection="0"/>
    <xf numFmtId="0" fontId="44" fillId="3" borderId="0" applyNumberFormat="0" applyBorder="0" applyAlignment="0" applyProtection="0"/>
    <xf numFmtId="0" fontId="44" fillId="4" borderId="0" applyNumberFormat="0" applyBorder="0" applyAlignment="0" applyProtection="0"/>
    <xf numFmtId="0" fontId="44" fillId="2" borderId="0" applyNumberFormat="0" applyBorder="0" applyAlignment="0" applyProtection="0"/>
    <xf numFmtId="0" fontId="44" fillId="5" borderId="0" applyNumberFormat="0" applyBorder="0" applyAlignment="0" applyProtection="0"/>
    <xf numFmtId="0" fontId="44" fillId="4" borderId="0" applyNumberFormat="0" applyBorder="0" applyAlignment="0" applyProtection="0"/>
    <xf numFmtId="0" fontId="44" fillId="6" borderId="0" applyNumberFormat="0" applyBorder="0" applyAlignment="0" applyProtection="0"/>
    <xf numFmtId="0" fontId="44" fillId="3" borderId="0" applyNumberFormat="0" applyBorder="0" applyAlignment="0" applyProtection="0"/>
    <xf numFmtId="0" fontId="44" fillId="4" borderId="0" applyNumberFormat="0" applyBorder="0" applyAlignment="0" applyProtection="0"/>
    <xf numFmtId="0" fontId="44" fillId="6" borderId="0" applyNumberFormat="0" applyBorder="0" applyAlignment="0" applyProtection="0"/>
    <xf numFmtId="0" fontId="44" fillId="7" borderId="0" applyNumberFormat="0" applyBorder="0" applyAlignment="0" applyProtection="0"/>
    <xf numFmtId="0" fontId="44" fillId="4"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5" fillId="9" borderId="0" applyNumberFormat="0" applyBorder="0" applyAlignment="0" applyProtection="0"/>
    <xf numFmtId="0" fontId="45" fillId="6" borderId="0" applyNumberFormat="0" applyBorder="0" applyAlignment="0" applyProtection="0"/>
    <xf numFmtId="0" fontId="45" fillId="8" borderId="0" applyNumberFormat="0" applyBorder="0" applyAlignment="0" applyProtection="0"/>
    <xf numFmtId="0" fontId="45" fillId="4"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5" fillId="9" borderId="0" applyNumberFormat="0" applyBorder="0" applyAlignment="0" applyProtection="0"/>
    <xf numFmtId="0" fontId="45" fillId="10"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6" fillId="11" borderId="0" applyNumberFormat="0" applyBorder="0" applyAlignment="0" applyProtection="0"/>
    <xf numFmtId="0" fontId="18" fillId="0" borderId="0"/>
    <xf numFmtId="0" fontId="47" fillId="12" borderId="1" applyNumberFormat="0" applyAlignment="0" applyProtection="0"/>
    <xf numFmtId="0" fontId="48" fillId="13" borderId="2" applyNumberFormat="0" applyAlignment="0" applyProtection="0"/>
    <xf numFmtId="43" fontId="1" fillId="0" borderId="0" applyFont="0" applyFill="0" applyBorder="0" applyAlignment="0" applyProtection="0"/>
    <xf numFmtId="44" fontId="1" fillId="0" borderId="0" applyFont="0" applyFill="0" applyBorder="0" applyAlignment="0" applyProtection="0"/>
    <xf numFmtId="44" fontId="75" fillId="0" borderId="0" applyFont="0" applyFill="0" applyBorder="0" applyAlignment="0" applyProtection="0"/>
    <xf numFmtId="44" fontId="6" fillId="0" borderId="0" applyFont="0" applyFill="0" applyBorder="0" applyAlignment="0" applyProtection="0"/>
    <xf numFmtId="178" fontId="1" fillId="0" borderId="0" applyFont="0" applyFill="0" applyBorder="0" applyAlignment="0" applyProtection="0"/>
    <xf numFmtId="0" fontId="49" fillId="0" borderId="0" applyNumberFormat="0" applyFill="0" applyBorder="0" applyAlignment="0" applyProtection="0"/>
    <xf numFmtId="181" fontId="36" fillId="0" borderId="0"/>
    <xf numFmtId="0" fontId="50" fillId="14" borderId="0" applyNumberFormat="0" applyBorder="0" applyAlignment="0" applyProtection="0"/>
    <xf numFmtId="0" fontId="51" fillId="0" borderId="3" applyNumberFormat="0" applyFill="0" applyAlignment="0" applyProtection="0"/>
    <xf numFmtId="0" fontId="52" fillId="0" borderId="4" applyNumberFormat="0" applyFill="0" applyAlignment="0" applyProtection="0"/>
    <xf numFmtId="0" fontId="53" fillId="0" borderId="5" applyNumberFormat="0" applyFill="0" applyAlignment="0" applyProtection="0"/>
    <xf numFmtId="0" fontId="53"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alignment vertical="top"/>
      <protection locked="0"/>
    </xf>
    <xf numFmtId="181" fontId="11" fillId="15" borderId="0"/>
    <xf numFmtId="0" fontId="54" fillId="0" borderId="6" applyNumberFormat="0" applyFill="0" applyAlignment="0" applyProtection="0"/>
    <xf numFmtId="0" fontId="55" fillId="4" borderId="0" applyNumberFormat="0" applyBorder="0" applyAlignment="0" applyProtection="0"/>
    <xf numFmtId="0" fontId="6" fillId="0" borderId="0"/>
    <xf numFmtId="0" fontId="35" fillId="0" borderId="0" applyNumberFormat="0" applyFont="0" applyFill="0" applyBorder="0" applyAlignment="0" applyProtection="0"/>
    <xf numFmtId="0" fontId="1" fillId="0" borderId="0">
      <alignment horizontal="left" vertical="top" wrapText="1"/>
    </xf>
    <xf numFmtId="0" fontId="69" fillId="0" borderId="0"/>
    <xf numFmtId="0" fontId="1" fillId="0" borderId="0"/>
    <xf numFmtId="0" fontId="35" fillId="0" borderId="0" applyNumberFormat="0" applyFont="0" applyFill="0" applyBorder="0" applyAlignment="0" applyProtection="0"/>
    <xf numFmtId="0" fontId="1" fillId="4" borderId="7" applyNumberFormat="0" applyFont="0" applyAlignment="0" applyProtection="0"/>
    <xf numFmtId="0" fontId="56" fillId="12" borderId="8" applyNumberFormat="0" applyAlignment="0" applyProtection="0"/>
    <xf numFmtId="0" fontId="19" fillId="0" borderId="0">
      <alignment vertical="center"/>
    </xf>
    <xf numFmtId="9" fontId="1" fillId="0" borderId="0" applyFont="0" applyFill="0" applyBorder="0" applyAlignment="0" applyProtection="0"/>
    <xf numFmtId="9" fontId="6" fillId="0" borderId="0" applyFont="0" applyFill="0" applyBorder="0" applyAlignment="0" applyProtection="0"/>
    <xf numFmtId="9" fontId="72" fillId="0" borderId="0" applyFont="0" applyFill="0" applyBorder="0" applyAlignment="0" applyProtection="0"/>
    <xf numFmtId="0" fontId="1" fillId="16" borderId="0" applyNumberFormat="0" applyFont="0" applyBorder="0" applyAlignment="0" applyProtection="0"/>
    <xf numFmtId="0" fontId="6" fillId="16" borderId="0" applyNumberFormat="0" applyFont="0" applyBorder="0" applyAlignment="0" applyProtection="0"/>
    <xf numFmtId="0" fontId="20" fillId="0" borderId="0"/>
    <xf numFmtId="0" fontId="20" fillId="0" borderId="9">
      <alignment horizontal="centerContinuous"/>
    </xf>
    <xf numFmtId="0" fontId="21" fillId="0" borderId="9"/>
    <xf numFmtId="0" fontId="1" fillId="0" borderId="0">
      <alignment vertical="top"/>
    </xf>
    <xf numFmtId="0" fontId="1" fillId="0" borderId="0">
      <alignment vertical="top"/>
    </xf>
    <xf numFmtId="0" fontId="57" fillId="0" borderId="0" applyNumberFormat="0" applyFill="0" applyBorder="0" applyAlignment="0" applyProtection="0"/>
    <xf numFmtId="0" fontId="58" fillId="0" borderId="10" applyNumberFormat="0" applyFill="0" applyAlignment="0" applyProtection="0"/>
    <xf numFmtId="0" fontId="59" fillId="0" borderId="0" applyNumberFormat="0" applyFill="0" applyBorder="0" applyAlignment="0" applyProtection="0"/>
    <xf numFmtId="0" fontId="1" fillId="0" borderId="0"/>
    <xf numFmtId="43" fontId="1" fillId="0" borderId="0" applyFont="0" applyFill="0" applyBorder="0" applyAlignment="0" applyProtection="0"/>
    <xf numFmtId="0" fontId="85" fillId="0" borderId="0"/>
  </cellStyleXfs>
  <cellXfs count="934">
    <xf numFmtId="0" fontId="0" fillId="0" borderId="0" xfId="0"/>
    <xf numFmtId="0" fontId="4" fillId="0" borderId="0" xfId="0" applyFont="1"/>
    <xf numFmtId="0" fontId="6" fillId="0" borderId="0" xfId="0" applyFont="1"/>
    <xf numFmtId="0" fontId="8" fillId="0" borderId="0" xfId="0" applyFont="1"/>
    <xf numFmtId="0" fontId="1" fillId="0" borderId="0" xfId="0" applyFont="1"/>
    <xf numFmtId="0" fontId="6" fillId="0" borderId="0" xfId="0" applyFont="1" applyFill="1" applyBorder="1"/>
    <xf numFmtId="0" fontId="8" fillId="0" borderId="0" xfId="0" applyFont="1" applyFill="1" applyBorder="1" applyAlignment="1">
      <alignment horizontal="center"/>
    </xf>
    <xf numFmtId="0" fontId="8" fillId="0" borderId="0" xfId="0" applyFont="1" applyFill="1" applyBorder="1"/>
    <xf numFmtId="0" fontId="0" fillId="0" borderId="0" xfId="0" applyFill="1" applyBorder="1"/>
    <xf numFmtId="0" fontId="6" fillId="0" borderId="0" xfId="0" applyFont="1" applyFill="1" applyBorder="1" applyAlignment="1">
      <alignment horizontal="center"/>
    </xf>
    <xf numFmtId="0" fontId="0" fillId="0" borderId="0" xfId="0" applyBorder="1"/>
    <xf numFmtId="0" fontId="22" fillId="0" borderId="0" xfId="0" applyFont="1"/>
    <xf numFmtId="0" fontId="5" fillId="19" borderId="0" xfId="59" applyFont="1" applyFill="1"/>
    <xf numFmtId="0" fontId="1" fillId="19" borderId="0" xfId="72" applyFont="1" applyFill="1" applyAlignment="1"/>
    <xf numFmtId="0" fontId="1" fillId="19" borderId="0" xfId="72" applyFill="1" applyAlignment="1"/>
    <xf numFmtId="0" fontId="23" fillId="19" borderId="0" xfId="59" applyFont="1" applyFill="1"/>
    <xf numFmtId="0" fontId="24" fillId="19" borderId="0" xfId="59" applyFont="1" applyFill="1" applyBorder="1"/>
    <xf numFmtId="0" fontId="25" fillId="19" borderId="0" xfId="59" applyFont="1" applyFill="1" applyBorder="1"/>
    <xf numFmtId="0" fontId="26" fillId="19" borderId="0" xfId="59" applyFont="1" applyFill="1" applyBorder="1"/>
    <xf numFmtId="0" fontId="27" fillId="19" borderId="0" xfId="59" applyFont="1" applyFill="1" applyBorder="1"/>
    <xf numFmtId="0" fontId="28" fillId="19" borderId="0" xfId="59" applyFont="1" applyFill="1" applyBorder="1"/>
    <xf numFmtId="0" fontId="7" fillId="19" borderId="0" xfId="59" applyFont="1" applyFill="1" applyBorder="1"/>
    <xf numFmtId="0" fontId="29" fillId="19" borderId="0" xfId="51" applyFont="1" applyFill="1" applyAlignment="1" applyProtection="1"/>
    <xf numFmtId="0" fontId="30" fillId="19" borderId="0" xfId="59" applyFont="1" applyFill="1" applyBorder="1"/>
    <xf numFmtId="0" fontId="8" fillId="19" borderId="0" xfId="72" applyFont="1" applyFill="1" applyAlignment="1"/>
    <xf numFmtId="0" fontId="31" fillId="19" borderId="0" xfId="59" applyFont="1" applyFill="1" applyBorder="1"/>
    <xf numFmtId="0" fontId="32" fillId="19" borderId="0" xfId="59" applyFont="1" applyFill="1" applyBorder="1"/>
    <xf numFmtId="0" fontId="9" fillId="19" borderId="0" xfId="59" applyFont="1" applyFill="1" applyBorder="1"/>
    <xf numFmtId="0" fontId="33" fillId="19" borderId="0" xfId="51" applyFont="1" applyFill="1" applyAlignment="1" applyProtection="1"/>
    <xf numFmtId="0" fontId="34" fillId="19" borderId="0" xfId="59" applyFont="1" applyFill="1" applyBorder="1"/>
    <xf numFmtId="164" fontId="6" fillId="18" borderId="0" xfId="64" applyNumberFormat="1" applyFont="1" applyFill="1" applyBorder="1" applyAlignment="1">
      <alignment horizontal="center"/>
    </xf>
    <xf numFmtId="0" fontId="6" fillId="18" borderId="0" xfId="0" applyFont="1" applyFill="1"/>
    <xf numFmtId="8" fontId="8" fillId="0" borderId="0" xfId="0" applyNumberFormat="1" applyFont="1" applyAlignment="1">
      <alignment horizontal="center"/>
    </xf>
    <xf numFmtId="164" fontId="6" fillId="18" borderId="0" xfId="64" applyNumberFormat="1" applyFont="1" applyFill="1" applyAlignment="1">
      <alignment horizontal="center"/>
    </xf>
    <xf numFmtId="164" fontId="6" fillId="18" borderId="0" xfId="0" applyNumberFormat="1" applyFont="1" applyFill="1"/>
    <xf numFmtId="8" fontId="6" fillId="0" borderId="0" xfId="0" applyNumberFormat="1" applyFont="1"/>
    <xf numFmtId="164" fontId="6" fillId="0" borderId="0" xfId="64" applyNumberFormat="1" applyFont="1"/>
    <xf numFmtId="164" fontId="8" fillId="0" borderId="0" xfId="64" applyNumberFormat="1" applyFont="1"/>
    <xf numFmtId="164" fontId="6" fillId="18" borderId="0" xfId="64" applyNumberFormat="1" applyFont="1" applyFill="1"/>
    <xf numFmtId="1" fontId="6" fillId="18" borderId="0" xfId="0" applyNumberFormat="1" applyFont="1" applyFill="1"/>
    <xf numFmtId="171" fontId="6" fillId="18" borderId="0" xfId="38" applyNumberFormat="1" applyFont="1" applyFill="1"/>
    <xf numFmtId="9" fontId="6" fillId="0" borderId="0" xfId="0" applyNumberFormat="1" applyFont="1"/>
    <xf numFmtId="164" fontId="8" fillId="18" borderId="0" xfId="64" applyNumberFormat="1" applyFont="1" applyFill="1"/>
    <xf numFmtId="0" fontId="43" fillId="0" borderId="0" xfId="0" applyFont="1"/>
    <xf numFmtId="164" fontId="6" fillId="0" borderId="0" xfId="0" applyNumberFormat="1" applyFont="1"/>
    <xf numFmtId="166" fontId="6" fillId="0" borderId="0" xfId="0" applyNumberFormat="1" applyFont="1"/>
    <xf numFmtId="0" fontId="6" fillId="17" borderId="0" xfId="0" applyFont="1" applyFill="1"/>
    <xf numFmtId="10" fontId="6" fillId="0" borderId="0" xfId="64" applyNumberFormat="1" applyFont="1"/>
    <xf numFmtId="0" fontId="40" fillId="0" borderId="0" xfId="0" applyFont="1"/>
    <xf numFmtId="43" fontId="6" fillId="0" borderId="0" xfId="0" applyNumberFormat="1" applyFont="1"/>
    <xf numFmtId="2" fontId="6" fillId="0" borderId="0" xfId="0" applyNumberFormat="1" applyFont="1"/>
    <xf numFmtId="0" fontId="63" fillId="0" borderId="0" xfId="0" applyFont="1"/>
    <xf numFmtId="164" fontId="6" fillId="0" borderId="0" xfId="64" applyNumberFormat="1" applyFont="1" applyBorder="1"/>
    <xf numFmtId="8" fontId="43" fillId="0" borderId="0" xfId="0" applyNumberFormat="1" applyFont="1" applyAlignment="1">
      <alignment horizontal="center"/>
    </xf>
    <xf numFmtId="164" fontId="6" fillId="0" borderId="0" xfId="64" applyNumberFormat="1" applyFont="1" applyAlignment="1">
      <alignment horizontal="center"/>
    </xf>
    <xf numFmtId="166" fontId="8" fillId="0" borderId="0" xfId="0" applyNumberFormat="1" applyFont="1"/>
    <xf numFmtId="0" fontId="40" fillId="0" borderId="0" xfId="0" applyFont="1" applyAlignment="1">
      <alignment horizontal="center"/>
    </xf>
    <xf numFmtId="8" fontId="40" fillId="0" borderId="0" xfId="0" applyNumberFormat="1" applyFont="1" applyAlignment="1">
      <alignment horizontal="center"/>
    </xf>
    <xf numFmtId="17" fontId="8" fillId="0" borderId="12" xfId="0" applyNumberFormat="1" applyFont="1" applyBorder="1" applyAlignment="1">
      <alignment horizontal="center"/>
    </xf>
    <xf numFmtId="0" fontId="8" fillId="17" borderId="12" xfId="0" applyFont="1" applyFill="1" applyBorder="1" applyAlignment="1">
      <alignment horizontal="center"/>
    </xf>
    <xf numFmtId="1" fontId="6" fillId="0" borderId="0" xfId="64" applyNumberFormat="1" applyFont="1"/>
    <xf numFmtId="1" fontId="42" fillId="0" borderId="0" xfId="64" applyNumberFormat="1" applyFont="1" applyBorder="1"/>
    <xf numFmtId="165" fontId="6" fillId="0" borderId="0" xfId="0" applyNumberFormat="1" applyFont="1" applyAlignment="1">
      <alignment horizontal="center"/>
    </xf>
    <xf numFmtId="0" fontId="6" fillId="0" borderId="0" xfId="0" applyFont="1" applyAlignment="1">
      <alignment horizontal="center"/>
    </xf>
    <xf numFmtId="164" fontId="42" fillId="0" borderId="0" xfId="64" applyNumberFormat="1" applyFont="1"/>
    <xf numFmtId="3" fontId="6" fillId="0" borderId="0" xfId="0" applyNumberFormat="1" applyFont="1"/>
    <xf numFmtId="3" fontId="6" fillId="18" borderId="0" xfId="0" applyNumberFormat="1" applyFont="1" applyFill="1"/>
    <xf numFmtId="3" fontId="42" fillId="0" borderId="0" xfId="0" applyNumberFormat="1" applyFont="1"/>
    <xf numFmtId="164" fontId="42" fillId="0" borderId="0" xfId="64" applyNumberFormat="1" applyFont="1" applyBorder="1"/>
    <xf numFmtId="165" fontId="41" fillId="0" borderId="0" xfId="0" applyNumberFormat="1" applyFont="1" applyAlignment="1">
      <alignment horizontal="center"/>
    </xf>
    <xf numFmtId="165" fontId="8" fillId="0" borderId="0" xfId="0" applyNumberFormat="1" applyFont="1" applyAlignment="1">
      <alignment horizontal="center"/>
    </xf>
    <xf numFmtId="164" fontId="8" fillId="0" borderId="0" xfId="64" applyNumberFormat="1" applyFont="1" applyAlignment="1">
      <alignment horizontal="center"/>
    </xf>
    <xf numFmtId="0" fontId="6" fillId="0" borderId="0" xfId="0" applyFont="1" applyBorder="1"/>
    <xf numFmtId="174" fontId="6" fillId="0" borderId="0" xfId="0" applyNumberFormat="1" applyFont="1" applyAlignment="1">
      <alignment horizontal="center"/>
    </xf>
    <xf numFmtId="165" fontId="6" fillId="0" borderId="0" xfId="0" applyNumberFormat="1" applyFont="1"/>
    <xf numFmtId="164" fontId="43" fillId="0" borderId="0" xfId="0" applyNumberFormat="1" applyFont="1"/>
    <xf numFmtId="10" fontId="8" fillId="0" borderId="0" xfId="64" applyNumberFormat="1" applyFont="1" applyAlignment="1">
      <alignment horizontal="center"/>
    </xf>
    <xf numFmtId="164" fontId="6" fillId="0" borderId="0" xfId="64" applyNumberFormat="1" applyFont="1" applyAlignment="1">
      <alignment horizontal="right"/>
    </xf>
    <xf numFmtId="0" fontId="39" fillId="0" borderId="0" xfId="0" applyFont="1"/>
    <xf numFmtId="0" fontId="39" fillId="18" borderId="12" xfId="0" applyFont="1" applyFill="1" applyBorder="1"/>
    <xf numFmtId="0" fontId="39" fillId="0" borderId="12" xfId="0" applyFont="1" applyBorder="1"/>
    <xf numFmtId="0" fontId="39" fillId="17" borderId="12" xfId="0" applyFont="1" applyFill="1" applyBorder="1" applyAlignment="1">
      <alignment horizontal="center"/>
    </xf>
    <xf numFmtId="17" fontId="39" fillId="0" borderId="12" xfId="0" applyNumberFormat="1" applyFont="1" applyBorder="1" applyAlignment="1">
      <alignment horizontal="center"/>
    </xf>
    <xf numFmtId="0" fontId="62" fillId="18" borderId="0" xfId="0" applyFont="1" applyFill="1" applyBorder="1" applyAlignment="1">
      <alignment horizontal="center"/>
    </xf>
    <xf numFmtId="166" fontId="39" fillId="0" borderId="0" xfId="0" applyNumberFormat="1" applyFont="1" applyAlignment="1">
      <alignment horizontal="center"/>
    </xf>
    <xf numFmtId="166" fontId="39" fillId="17" borderId="0" xfId="0" applyNumberFormat="1" applyFont="1" applyFill="1" applyAlignment="1">
      <alignment horizontal="center"/>
    </xf>
    <xf numFmtId="166" fontId="39" fillId="18" borderId="0" xfId="0" applyNumberFormat="1" applyFont="1" applyFill="1" applyAlignment="1">
      <alignment horizontal="center"/>
    </xf>
    <xf numFmtId="166" fontId="8" fillId="0" borderId="0" xfId="0" applyNumberFormat="1" applyFont="1" applyAlignment="1">
      <alignment horizontal="center"/>
    </xf>
    <xf numFmtId="164" fontId="40" fillId="0" borderId="0" xfId="64" applyNumberFormat="1" applyFont="1" applyAlignment="1">
      <alignment horizontal="center"/>
    </xf>
    <xf numFmtId="166" fontId="39" fillId="0" borderId="0" xfId="0" applyNumberFormat="1" applyFont="1"/>
    <xf numFmtId="164" fontId="40" fillId="0" borderId="0" xfId="0" applyNumberFormat="1" applyFont="1" applyAlignment="1">
      <alignment horizontal="center"/>
    </xf>
    <xf numFmtId="164" fontId="6" fillId="17" borderId="0" xfId="64" applyNumberFormat="1" applyFont="1" applyFill="1" applyAlignment="1">
      <alignment horizontal="center"/>
    </xf>
    <xf numFmtId="164" fontId="6" fillId="18" borderId="0" xfId="0" applyNumberFormat="1" applyFont="1" applyFill="1" applyAlignment="1">
      <alignment horizontal="center"/>
    </xf>
    <xf numFmtId="164" fontId="42" fillId="18" borderId="0" xfId="0" applyNumberFormat="1" applyFont="1" applyFill="1" applyAlignment="1">
      <alignment horizontal="center"/>
    </xf>
    <xf numFmtId="164" fontId="42" fillId="0" borderId="0" xfId="0" applyNumberFormat="1" applyFont="1" applyAlignment="1">
      <alignment horizontal="center"/>
    </xf>
    <xf numFmtId="164" fontId="6" fillId="0" borderId="0" xfId="0" applyNumberFormat="1" applyFont="1" applyAlignment="1">
      <alignment horizontal="center"/>
    </xf>
    <xf numFmtId="164" fontId="6" fillId="17" borderId="0" xfId="0" applyNumberFormat="1" applyFont="1" applyFill="1" applyAlignment="1">
      <alignment horizontal="center"/>
    </xf>
    <xf numFmtId="164" fontId="40" fillId="18" borderId="0" xfId="0" applyNumberFormat="1" applyFont="1" applyFill="1" applyAlignment="1">
      <alignment horizontal="center"/>
    </xf>
    <xf numFmtId="164" fontId="40" fillId="17" borderId="0" xfId="0" applyNumberFormat="1" applyFont="1" applyFill="1" applyAlignment="1">
      <alignment horizontal="center"/>
    </xf>
    <xf numFmtId="9" fontId="6" fillId="0" borderId="0" xfId="0" applyNumberFormat="1" applyFont="1" applyAlignment="1">
      <alignment horizontal="center"/>
    </xf>
    <xf numFmtId="9" fontId="40" fillId="0" borderId="0" xfId="0" applyNumberFormat="1" applyFont="1" applyAlignment="1">
      <alignment horizontal="center"/>
    </xf>
    <xf numFmtId="0" fontId="40" fillId="17" borderId="0" xfId="0" applyFont="1" applyFill="1" applyAlignment="1">
      <alignment horizontal="center"/>
    </xf>
    <xf numFmtId="9" fontId="40" fillId="18" borderId="0" xfId="0" applyNumberFormat="1" applyFont="1" applyFill="1" applyAlignment="1">
      <alignment horizontal="center"/>
    </xf>
    <xf numFmtId="0" fontId="40" fillId="18" borderId="0" xfId="0" applyFont="1" applyFill="1" applyAlignment="1">
      <alignment horizontal="center"/>
    </xf>
    <xf numFmtId="166" fontId="40" fillId="0" borderId="0" xfId="0" applyNumberFormat="1" applyFont="1" applyAlignment="1">
      <alignment horizontal="center"/>
    </xf>
    <xf numFmtId="166" fontId="40" fillId="17" borderId="0" xfId="0" applyNumberFormat="1" applyFont="1" applyFill="1" applyAlignment="1">
      <alignment horizontal="center"/>
    </xf>
    <xf numFmtId="166" fontId="40" fillId="18" borderId="0" xfId="0" applyNumberFormat="1" applyFont="1" applyFill="1" applyAlignment="1">
      <alignment horizontal="center"/>
    </xf>
    <xf numFmtId="166" fontId="6" fillId="17" borderId="0" xfId="0" applyNumberFormat="1" applyFont="1" applyFill="1" applyAlignment="1">
      <alignment horizontal="center"/>
    </xf>
    <xf numFmtId="166" fontId="6" fillId="0" borderId="0" xfId="0" applyNumberFormat="1" applyFont="1" applyAlignment="1">
      <alignment horizontal="center"/>
    </xf>
    <xf numFmtId="3" fontId="39" fillId="0" borderId="0" xfId="0" applyNumberFormat="1" applyFont="1"/>
    <xf numFmtId="3" fontId="40" fillId="0" borderId="0" xfId="0" applyNumberFormat="1" applyFont="1"/>
    <xf numFmtId="3" fontId="6" fillId="0" borderId="0" xfId="0" applyNumberFormat="1" applyFont="1" applyAlignment="1">
      <alignment horizontal="center"/>
    </xf>
    <xf numFmtId="3" fontId="6" fillId="17" borderId="0" xfId="0" applyNumberFormat="1" applyFont="1" applyFill="1" applyAlignment="1">
      <alignment horizontal="center"/>
    </xf>
    <xf numFmtId="3" fontId="6" fillId="18" borderId="0" xfId="0" applyNumberFormat="1" applyFont="1" applyFill="1" applyAlignment="1">
      <alignment horizontal="center"/>
    </xf>
    <xf numFmtId="3" fontId="42" fillId="0" borderId="0" xfId="0" applyNumberFormat="1" applyFont="1" applyAlignment="1">
      <alignment horizontal="center"/>
    </xf>
    <xf numFmtId="3" fontId="42" fillId="17" borderId="0" xfId="0" applyNumberFormat="1" applyFont="1" applyFill="1" applyAlignment="1">
      <alignment horizontal="center"/>
    </xf>
    <xf numFmtId="3" fontId="40" fillId="17" borderId="0" xfId="0" applyNumberFormat="1" applyFont="1" applyFill="1" applyAlignment="1">
      <alignment horizontal="center"/>
    </xf>
    <xf numFmtId="3" fontId="40" fillId="0" borderId="0" xfId="0" applyNumberFormat="1" applyFont="1" applyAlignment="1">
      <alignment horizontal="center"/>
    </xf>
    <xf numFmtId="3" fontId="40" fillId="18" borderId="0" xfId="0" applyNumberFormat="1" applyFont="1" applyFill="1" applyAlignment="1">
      <alignment horizontal="center"/>
    </xf>
    <xf numFmtId="165" fontId="40" fillId="0" borderId="0" xfId="0" applyNumberFormat="1" applyFont="1" applyAlignment="1">
      <alignment horizontal="center"/>
    </xf>
    <xf numFmtId="164" fontId="61" fillId="0" borderId="0" xfId="0" applyNumberFormat="1" applyFont="1" applyAlignment="1">
      <alignment horizontal="center"/>
    </xf>
    <xf numFmtId="1" fontId="62" fillId="17" borderId="0" xfId="0" applyNumberFormat="1" applyFont="1" applyFill="1" applyAlignment="1">
      <alignment horizontal="center"/>
    </xf>
    <xf numFmtId="172" fontId="62" fillId="0" borderId="0" xfId="38" applyNumberFormat="1" applyFont="1" applyAlignment="1">
      <alignment horizontal="center"/>
    </xf>
    <xf numFmtId="164" fontId="42" fillId="0" borderId="0" xfId="64" applyNumberFormat="1" applyFont="1" applyAlignment="1">
      <alignment horizontal="center"/>
    </xf>
    <xf numFmtId="164" fontId="39" fillId="18" borderId="0" xfId="64" applyNumberFormat="1" applyFont="1" applyFill="1" applyAlignment="1">
      <alignment horizontal="center"/>
    </xf>
    <xf numFmtId="0" fontId="37" fillId="0" borderId="0" xfId="0" applyFont="1"/>
    <xf numFmtId="0" fontId="60" fillId="0" borderId="0" xfId="0" applyFont="1"/>
    <xf numFmtId="164" fontId="40" fillId="0" borderId="0" xfId="64" applyNumberFormat="1" applyFont="1"/>
    <xf numFmtId="164" fontId="40" fillId="0" borderId="0" xfId="64" applyNumberFormat="1" applyFont="1" applyBorder="1"/>
    <xf numFmtId="166" fontId="39" fillId="0" borderId="0" xfId="0" applyNumberFormat="1" applyFont="1" applyFill="1" applyAlignment="1">
      <alignment horizontal="center"/>
    </xf>
    <xf numFmtId="164" fontId="40" fillId="0" borderId="0" xfId="0" applyNumberFormat="1" applyFont="1" applyFill="1" applyAlignment="1">
      <alignment horizontal="center"/>
    </xf>
    <xf numFmtId="164" fontId="6" fillId="0" borderId="0" xfId="0" applyNumberFormat="1" applyFont="1" applyFill="1" applyAlignment="1">
      <alignment horizontal="center"/>
    </xf>
    <xf numFmtId="166" fontId="40" fillId="0" borderId="0" xfId="0" applyNumberFormat="1" applyFont="1" applyFill="1" applyAlignment="1">
      <alignment horizontal="center"/>
    </xf>
    <xf numFmtId="171" fontId="40" fillId="18" borderId="0" xfId="38" applyNumberFormat="1" applyFont="1" applyFill="1" applyAlignment="1">
      <alignment horizontal="center"/>
    </xf>
    <xf numFmtId="166" fontId="6" fillId="0" borderId="0" xfId="0" applyNumberFormat="1" applyFont="1" applyFill="1" applyAlignment="1">
      <alignment horizontal="center"/>
    </xf>
    <xf numFmtId="166" fontId="6" fillId="18" borderId="0" xfId="0" applyNumberFormat="1" applyFont="1" applyFill="1" applyAlignment="1">
      <alignment horizontal="center"/>
    </xf>
    <xf numFmtId="166" fontId="42" fillId="0" borderId="0" xfId="0" applyNumberFormat="1" applyFont="1" applyAlignment="1">
      <alignment horizontal="center"/>
    </xf>
    <xf numFmtId="166" fontId="42" fillId="17" borderId="0" xfId="0" applyNumberFormat="1" applyFont="1" applyFill="1" applyAlignment="1">
      <alignment horizontal="center"/>
    </xf>
    <xf numFmtId="172" fontId="40" fillId="18" borderId="0" xfId="38" applyNumberFormat="1" applyFont="1" applyFill="1" applyAlignment="1">
      <alignment horizontal="center"/>
    </xf>
    <xf numFmtId="9" fontId="40" fillId="0" borderId="0" xfId="64" applyFont="1" applyAlignment="1">
      <alignment horizontal="center"/>
    </xf>
    <xf numFmtId="165" fontId="62" fillId="18" borderId="0" xfId="0" applyNumberFormat="1" applyFont="1" applyFill="1" applyAlignment="1">
      <alignment horizontal="left"/>
    </xf>
    <xf numFmtId="165" fontId="40" fillId="17" borderId="0" xfId="0" applyNumberFormat="1" applyFont="1" applyFill="1" applyAlignment="1">
      <alignment horizontal="center"/>
    </xf>
    <xf numFmtId="165" fontId="40" fillId="18" borderId="0" xfId="0" applyNumberFormat="1" applyFont="1" applyFill="1" applyAlignment="1">
      <alignment horizontal="center"/>
    </xf>
    <xf numFmtId="165" fontId="62" fillId="0" borderId="0" xfId="0" applyNumberFormat="1" applyFont="1" applyAlignment="1">
      <alignment horizontal="center"/>
    </xf>
    <xf numFmtId="165" fontId="62" fillId="17" borderId="0" xfId="0" applyNumberFormat="1" applyFont="1" applyFill="1" applyAlignment="1">
      <alignment horizontal="center"/>
    </xf>
    <xf numFmtId="165" fontId="40" fillId="0" borderId="0" xfId="0" applyNumberFormat="1" applyFont="1" applyFill="1" applyAlignment="1">
      <alignment horizontal="center"/>
    </xf>
    <xf numFmtId="165" fontId="6" fillId="0" borderId="0" xfId="0" applyNumberFormat="1" applyFont="1" applyFill="1" applyAlignment="1">
      <alignment horizontal="center"/>
    </xf>
    <xf numFmtId="165" fontId="62" fillId="18" borderId="0" xfId="0" applyNumberFormat="1" applyFont="1" applyFill="1" applyAlignment="1">
      <alignment horizontal="center"/>
    </xf>
    <xf numFmtId="165" fontId="42" fillId="0" borderId="0" xfId="0" applyNumberFormat="1" applyFont="1" applyAlignment="1">
      <alignment horizontal="center"/>
    </xf>
    <xf numFmtId="166" fontId="61" fillId="0" borderId="0" xfId="0" applyNumberFormat="1" applyFont="1" applyAlignment="1">
      <alignment horizontal="center"/>
    </xf>
    <xf numFmtId="166" fontId="61" fillId="17" borderId="0" xfId="0" applyNumberFormat="1" applyFont="1" applyFill="1" applyAlignment="1">
      <alignment horizontal="center"/>
    </xf>
    <xf numFmtId="165" fontId="43" fillId="0" borderId="0" xfId="0" applyNumberFormat="1" applyFont="1" applyAlignment="1">
      <alignment horizontal="center"/>
    </xf>
    <xf numFmtId="165" fontId="43" fillId="17" borderId="0" xfId="0" applyNumberFormat="1" applyFont="1" applyFill="1" applyAlignment="1">
      <alignment horizontal="center"/>
    </xf>
    <xf numFmtId="166" fontId="61" fillId="18" borderId="0" xfId="0" applyNumberFormat="1" applyFont="1" applyFill="1" applyAlignment="1">
      <alignment horizontal="center"/>
    </xf>
    <xf numFmtId="165" fontId="43" fillId="18" borderId="0" xfId="0" applyNumberFormat="1" applyFont="1" applyFill="1" applyAlignment="1">
      <alignment horizontal="center"/>
    </xf>
    <xf numFmtId="165" fontId="39" fillId="0" borderId="0" xfId="0" applyNumberFormat="1" applyFont="1" applyAlignment="1">
      <alignment horizontal="center"/>
    </xf>
    <xf numFmtId="165" fontId="39" fillId="17" borderId="0" xfId="0" applyNumberFormat="1" applyFont="1" applyFill="1" applyAlignment="1">
      <alignment horizontal="center"/>
    </xf>
    <xf numFmtId="165" fontId="39" fillId="18" borderId="0" xfId="0" applyNumberFormat="1" applyFont="1" applyFill="1" applyAlignment="1">
      <alignment horizontal="center"/>
    </xf>
    <xf numFmtId="9" fontId="62" fillId="18" borderId="0" xfId="38" applyNumberFormat="1" applyFont="1" applyFill="1" applyAlignment="1">
      <alignment horizontal="center"/>
    </xf>
    <xf numFmtId="0" fontId="6" fillId="17" borderId="0" xfId="0" applyFont="1" applyFill="1" applyAlignment="1">
      <alignment horizontal="center"/>
    </xf>
    <xf numFmtId="166" fontId="8" fillId="17" borderId="0" xfId="0" applyNumberFormat="1" applyFont="1" applyFill="1" applyAlignment="1">
      <alignment horizontal="center"/>
    </xf>
    <xf numFmtId="8" fontId="39" fillId="17" borderId="0" xfId="0" applyNumberFormat="1" applyFont="1" applyFill="1" applyAlignment="1">
      <alignment horizontal="center"/>
    </xf>
    <xf numFmtId="4" fontId="43" fillId="17" borderId="0" xfId="0" applyNumberFormat="1" applyFont="1" applyFill="1" applyAlignment="1">
      <alignment horizontal="center"/>
    </xf>
    <xf numFmtId="4" fontId="43" fillId="0" borderId="0" xfId="0" applyNumberFormat="1" applyFont="1" applyAlignment="1">
      <alignment horizontal="center"/>
    </xf>
    <xf numFmtId="44" fontId="62" fillId="0" borderId="0" xfId="39" applyNumberFormat="1" applyFont="1" applyAlignment="1">
      <alignment horizontal="center"/>
    </xf>
    <xf numFmtId="44" fontId="62" fillId="18" borderId="0" xfId="39" applyNumberFormat="1" applyFont="1" applyFill="1" applyAlignment="1">
      <alignment horizontal="center"/>
    </xf>
    <xf numFmtId="44" fontId="62" fillId="0" borderId="0" xfId="39" applyNumberFormat="1" applyFont="1" applyAlignment="1">
      <alignment horizontal="left"/>
    </xf>
    <xf numFmtId="44" fontId="62" fillId="17" borderId="0" xfId="39" applyNumberFormat="1" applyFont="1" applyFill="1" applyAlignment="1">
      <alignment horizontal="left"/>
    </xf>
    <xf numFmtId="8" fontId="8" fillId="17" borderId="0" xfId="0" applyNumberFormat="1" applyFont="1" applyFill="1" applyAlignment="1">
      <alignment horizontal="center"/>
    </xf>
    <xf numFmtId="8" fontId="39" fillId="0" borderId="0" xfId="0" applyNumberFormat="1" applyFont="1" applyAlignment="1">
      <alignment horizontal="center"/>
    </xf>
    <xf numFmtId="8" fontId="62" fillId="18" borderId="0" xfId="0" applyNumberFormat="1" applyFont="1" applyFill="1" applyAlignment="1">
      <alignment horizontal="center"/>
    </xf>
    <xf numFmtId="9" fontId="40" fillId="0" borderId="0" xfId="64" applyFont="1"/>
    <xf numFmtId="9" fontId="6" fillId="0" borderId="0" xfId="64" applyFont="1" applyBorder="1"/>
    <xf numFmtId="9" fontId="40" fillId="0" borderId="0" xfId="64" applyFont="1" applyBorder="1"/>
    <xf numFmtId="8" fontId="43" fillId="17" borderId="0" xfId="0" applyNumberFormat="1" applyFont="1" applyFill="1" applyAlignment="1">
      <alignment horizontal="center"/>
    </xf>
    <xf numFmtId="9" fontId="39" fillId="17" borderId="0" xfId="64" applyFont="1" applyFill="1" applyAlignment="1">
      <alignment horizontal="center"/>
    </xf>
    <xf numFmtId="8" fontId="6" fillId="0" borderId="0" xfId="0" applyNumberFormat="1" applyFont="1" applyAlignment="1">
      <alignment horizontal="center"/>
    </xf>
    <xf numFmtId="41" fontId="6" fillId="0" borderId="0" xfId="0" applyNumberFormat="1" applyFont="1"/>
    <xf numFmtId="165" fontId="6" fillId="17" borderId="0" xfId="0" applyNumberFormat="1" applyFont="1" applyFill="1" applyAlignment="1">
      <alignment horizontal="center"/>
    </xf>
    <xf numFmtId="165" fontId="6" fillId="18" borderId="0" xfId="0" applyNumberFormat="1" applyFont="1" applyFill="1" applyAlignment="1">
      <alignment horizontal="center"/>
    </xf>
    <xf numFmtId="9" fontId="6" fillId="0" borderId="0" xfId="64" applyFont="1"/>
    <xf numFmtId="165" fontId="41" fillId="17" borderId="0" xfId="0" applyNumberFormat="1" applyFont="1" applyFill="1" applyAlignment="1">
      <alignment horizontal="center"/>
    </xf>
    <xf numFmtId="165" fontId="38" fillId="17" borderId="0" xfId="0" applyNumberFormat="1" applyFont="1" applyFill="1" applyAlignment="1">
      <alignment horizontal="center"/>
    </xf>
    <xf numFmtId="166" fontId="38" fillId="0" borderId="0" xfId="0" applyNumberFormat="1" applyFont="1" applyAlignment="1">
      <alignment horizontal="center"/>
    </xf>
    <xf numFmtId="166" fontId="38" fillId="18" borderId="0" xfId="0" applyNumberFormat="1" applyFont="1" applyFill="1" applyAlignment="1">
      <alignment horizontal="center"/>
    </xf>
    <xf numFmtId="165" fontId="41" fillId="18" borderId="0" xfId="0" applyNumberFormat="1" applyFont="1" applyFill="1" applyAlignment="1">
      <alignment horizontal="center"/>
    </xf>
    <xf numFmtId="41" fontId="8" fillId="0" borderId="0" xfId="0" applyNumberFormat="1" applyFont="1"/>
    <xf numFmtId="166" fontId="43" fillId="0" borderId="0" xfId="0" applyNumberFormat="1" applyFont="1" applyAlignment="1">
      <alignment horizontal="center"/>
    </xf>
    <xf numFmtId="166" fontId="8" fillId="18" borderId="0" xfId="0" applyNumberFormat="1" applyFont="1" applyFill="1" applyAlignment="1">
      <alignment horizontal="center"/>
    </xf>
    <xf numFmtId="180" fontId="64" fillId="17" borderId="0" xfId="64" applyNumberFormat="1" applyFont="1" applyFill="1" applyAlignment="1">
      <alignment horizontal="center"/>
    </xf>
    <xf numFmtId="8" fontId="6" fillId="17" borderId="0" xfId="0" applyNumberFormat="1" applyFont="1" applyFill="1" applyAlignment="1">
      <alignment horizontal="center"/>
    </xf>
    <xf numFmtId="8" fontId="40" fillId="17" borderId="0" xfId="0" applyNumberFormat="1" applyFont="1" applyFill="1" applyAlignment="1">
      <alignment horizontal="center"/>
    </xf>
    <xf numFmtId="8" fontId="40" fillId="18" borderId="0" xfId="0" applyNumberFormat="1" applyFont="1" applyFill="1" applyAlignment="1">
      <alignment horizontal="center"/>
    </xf>
    <xf numFmtId="6" fontId="39" fillId="18" borderId="0" xfId="0" applyNumberFormat="1" applyFont="1" applyFill="1" applyAlignment="1">
      <alignment horizontal="center"/>
    </xf>
    <xf numFmtId="180" fontId="43" fillId="17" borderId="0" xfId="0" applyNumberFormat="1" applyFont="1" applyFill="1" applyAlignment="1">
      <alignment horizontal="center"/>
    </xf>
    <xf numFmtId="43" fontId="43" fillId="17" borderId="0" xfId="38" applyFont="1" applyFill="1" applyAlignment="1">
      <alignment horizontal="center"/>
    </xf>
    <xf numFmtId="8" fontId="10" fillId="0" borderId="0" xfId="0" applyNumberFormat="1" applyFont="1" applyAlignment="1">
      <alignment horizontal="center"/>
    </xf>
    <xf numFmtId="164" fontId="43" fillId="18" borderId="0" xfId="64" applyNumberFormat="1" applyFont="1" applyFill="1" applyAlignment="1">
      <alignment horizontal="center"/>
    </xf>
    <xf numFmtId="165" fontId="10" fillId="0" borderId="0" xfId="0" applyNumberFormat="1" applyFont="1" applyAlignment="1">
      <alignment horizontal="center"/>
    </xf>
    <xf numFmtId="164" fontId="40" fillId="17" borderId="0" xfId="64" applyNumberFormat="1" applyFont="1" applyFill="1" applyAlignment="1">
      <alignment horizontal="center"/>
    </xf>
    <xf numFmtId="8" fontId="62" fillId="0" borderId="0" xfId="0" applyNumberFormat="1" applyFont="1" applyAlignment="1">
      <alignment horizontal="center"/>
    </xf>
    <xf numFmtId="17" fontId="39" fillId="18" borderId="12" xfId="0" applyNumberFormat="1" applyFont="1" applyFill="1" applyBorder="1" applyAlignment="1">
      <alignment horizontal="center"/>
    </xf>
    <xf numFmtId="0" fontId="39" fillId="18" borderId="0" xfId="0" applyFont="1" applyFill="1" applyBorder="1" applyAlignment="1">
      <alignment horizontal="center"/>
    </xf>
    <xf numFmtId="166" fontId="40" fillId="0" borderId="13" xfId="0" applyNumberFormat="1" applyFont="1" applyBorder="1" applyAlignment="1">
      <alignment horizontal="center"/>
    </xf>
    <xf numFmtId="166" fontId="40" fillId="17" borderId="13" xfId="0" applyNumberFormat="1" applyFont="1" applyFill="1" applyBorder="1" applyAlignment="1">
      <alignment horizontal="center"/>
    </xf>
    <xf numFmtId="166" fontId="6" fillId="0" borderId="13" xfId="0" applyNumberFormat="1" applyFont="1" applyBorder="1" applyAlignment="1">
      <alignment horizontal="center"/>
    </xf>
    <xf numFmtId="166" fontId="40" fillId="18" borderId="13" xfId="0" applyNumberFormat="1" applyFont="1" applyFill="1" applyBorder="1" applyAlignment="1">
      <alignment horizontal="center"/>
    </xf>
    <xf numFmtId="166" fontId="40" fillId="18" borderId="0" xfId="0" applyNumberFormat="1" applyFont="1" applyFill="1" applyBorder="1" applyAlignment="1">
      <alignment horizontal="center"/>
    </xf>
    <xf numFmtId="166" fontId="6" fillId="17" borderId="13" xfId="0" applyNumberFormat="1" applyFont="1" applyFill="1" applyBorder="1" applyAlignment="1">
      <alignment horizontal="center"/>
    </xf>
    <xf numFmtId="166" fontId="6" fillId="18" borderId="13" xfId="0" applyNumberFormat="1" applyFont="1" applyFill="1" applyBorder="1" applyAlignment="1">
      <alignment horizontal="center"/>
    </xf>
    <xf numFmtId="166" fontId="42" fillId="0" borderId="13" xfId="0" applyNumberFormat="1" applyFont="1" applyBorder="1" applyAlignment="1">
      <alignment horizontal="center"/>
    </xf>
    <xf numFmtId="166" fontId="6" fillId="18" borderId="0" xfId="0" applyNumberFormat="1" applyFont="1" applyFill="1" applyBorder="1" applyAlignment="1">
      <alignment horizontal="center"/>
    </xf>
    <xf numFmtId="166" fontId="60" fillId="0" borderId="0" xfId="0" applyNumberFormat="1" applyFont="1" applyAlignment="1">
      <alignment horizontal="center"/>
    </xf>
    <xf numFmtId="166" fontId="37" fillId="17" borderId="0" xfId="0" applyNumberFormat="1" applyFont="1" applyFill="1" applyAlignment="1">
      <alignment horizontal="center"/>
    </xf>
    <xf numFmtId="166" fontId="37" fillId="0" borderId="0" xfId="0" applyNumberFormat="1" applyFont="1" applyAlignment="1">
      <alignment horizontal="center"/>
    </xf>
    <xf numFmtId="166" fontId="37" fillId="18" borderId="0" xfId="0" applyNumberFormat="1" applyFont="1" applyFill="1" applyAlignment="1">
      <alignment horizontal="center"/>
    </xf>
    <xf numFmtId="17" fontId="8" fillId="0" borderId="0" xfId="0" applyNumberFormat="1" applyFont="1" applyBorder="1" applyAlignment="1">
      <alignment horizontal="center"/>
    </xf>
    <xf numFmtId="165" fontId="40" fillId="0" borderId="13" xfId="0" applyNumberFormat="1" applyFont="1" applyBorder="1" applyAlignment="1">
      <alignment horizontal="center"/>
    </xf>
    <xf numFmtId="165" fontId="40" fillId="17" borderId="13" xfId="0" applyNumberFormat="1" applyFont="1" applyFill="1" applyBorder="1" applyAlignment="1">
      <alignment horizontal="center"/>
    </xf>
    <xf numFmtId="165" fontId="6" fillId="0" borderId="13" xfId="0" applyNumberFormat="1" applyFont="1" applyBorder="1" applyAlignment="1">
      <alignment horizontal="center"/>
    </xf>
    <xf numFmtId="165" fontId="40" fillId="18" borderId="13" xfId="0" applyNumberFormat="1" applyFont="1" applyFill="1" applyBorder="1" applyAlignment="1">
      <alignment horizontal="center"/>
    </xf>
    <xf numFmtId="165" fontId="42" fillId="0" borderId="13" xfId="0" applyNumberFormat="1" applyFont="1" applyBorder="1" applyAlignment="1">
      <alignment horizontal="center"/>
    </xf>
    <xf numFmtId="165" fontId="40" fillId="18" borderId="0" xfId="0" applyNumberFormat="1" applyFont="1" applyFill="1" applyBorder="1" applyAlignment="1">
      <alignment horizontal="center"/>
    </xf>
    <xf numFmtId="168" fontId="40" fillId="0" borderId="0" xfId="0" applyNumberFormat="1" applyFont="1" applyAlignment="1">
      <alignment horizontal="center"/>
    </xf>
    <xf numFmtId="165" fontId="10" fillId="17" borderId="0" xfId="0" applyNumberFormat="1" applyFont="1" applyFill="1" applyAlignment="1">
      <alignment horizontal="center"/>
    </xf>
    <xf numFmtId="2" fontId="40" fillId="17" borderId="0" xfId="0" applyNumberFormat="1" applyFont="1" applyFill="1" applyAlignment="1">
      <alignment horizontal="center"/>
    </xf>
    <xf numFmtId="164" fontId="62" fillId="0" borderId="0" xfId="64" applyNumberFormat="1" applyFont="1" applyAlignment="1">
      <alignment horizontal="center"/>
    </xf>
    <xf numFmtId="165" fontId="6" fillId="17" borderId="13" xfId="0" applyNumberFormat="1" applyFont="1" applyFill="1" applyBorder="1" applyAlignment="1">
      <alignment horizontal="center"/>
    </xf>
    <xf numFmtId="165" fontId="6" fillId="18" borderId="13" xfId="0" applyNumberFormat="1" applyFont="1" applyFill="1" applyBorder="1" applyAlignment="1">
      <alignment horizontal="center"/>
    </xf>
    <xf numFmtId="165" fontId="6" fillId="18" borderId="0" xfId="0" applyNumberFormat="1" applyFont="1" applyFill="1" applyBorder="1" applyAlignment="1">
      <alignment horizontal="center"/>
    </xf>
    <xf numFmtId="0" fontId="65" fillId="0" borderId="0" xfId="0" applyFont="1" applyAlignment="1">
      <alignment horizontal="center"/>
    </xf>
    <xf numFmtId="0" fontId="65" fillId="17" borderId="0" xfId="0" applyFont="1" applyFill="1" applyAlignment="1">
      <alignment horizontal="center"/>
    </xf>
    <xf numFmtId="0" fontId="65" fillId="18" borderId="0" xfId="0" applyFont="1" applyFill="1" applyAlignment="1">
      <alignment horizontal="center"/>
    </xf>
    <xf numFmtId="9" fontId="40" fillId="17" borderId="0" xfId="64" applyNumberFormat="1" applyFont="1" applyFill="1" applyAlignment="1">
      <alignment horizontal="center"/>
    </xf>
    <xf numFmtId="9" fontId="40" fillId="17" borderId="0" xfId="64" applyFont="1" applyFill="1" applyAlignment="1">
      <alignment horizontal="center"/>
    </xf>
    <xf numFmtId="43" fontId="40" fillId="18" borderId="0" xfId="38" applyFont="1" applyFill="1" applyAlignment="1">
      <alignment horizontal="center"/>
    </xf>
    <xf numFmtId="170" fontId="40" fillId="0" borderId="0" xfId="0" applyNumberFormat="1" applyFont="1" applyAlignment="1">
      <alignment horizontal="center"/>
    </xf>
    <xf numFmtId="170" fontId="40" fillId="17" borderId="0" xfId="0" applyNumberFormat="1" applyFont="1" applyFill="1" applyAlignment="1">
      <alignment horizontal="center"/>
    </xf>
    <xf numFmtId="9" fontId="40" fillId="0" borderId="0" xfId="64" applyFont="1" applyBorder="1" applyAlignment="1">
      <alignment horizontal="center"/>
    </xf>
    <xf numFmtId="43" fontId="40" fillId="18" borderId="0" xfId="64" applyNumberFormat="1" applyFont="1" applyFill="1" applyAlignment="1">
      <alignment horizontal="center"/>
    </xf>
    <xf numFmtId="9" fontId="40" fillId="18" borderId="0" xfId="64" applyFont="1" applyFill="1" applyAlignment="1">
      <alignment horizontal="center"/>
    </xf>
    <xf numFmtId="0" fontId="40" fillId="0" borderId="12" xfId="0" applyFont="1" applyBorder="1"/>
    <xf numFmtId="164" fontId="6" fillId="0" borderId="0" xfId="64" applyNumberFormat="1" applyFont="1" applyBorder="1" applyAlignment="1">
      <alignment horizontal="center"/>
    </xf>
    <xf numFmtId="10" fontId="40" fillId="0" borderId="0" xfId="0" applyNumberFormat="1" applyFont="1"/>
    <xf numFmtId="171" fontId="40" fillId="0" borderId="0" xfId="38" applyNumberFormat="1" applyFont="1"/>
    <xf numFmtId="165" fontId="6" fillId="0" borderId="0" xfId="38" applyNumberFormat="1" applyFont="1" applyBorder="1" applyAlignment="1">
      <alignment horizontal="center"/>
    </xf>
    <xf numFmtId="165" fontId="40" fillId="0" borderId="0" xfId="38" applyNumberFormat="1" applyFont="1" applyAlignment="1">
      <alignment horizontal="center"/>
    </xf>
    <xf numFmtId="165" fontId="40" fillId="17" borderId="0" xfId="38" applyNumberFormat="1" applyFont="1" applyFill="1" applyAlignment="1">
      <alignment horizontal="center"/>
    </xf>
    <xf numFmtId="165" fontId="6" fillId="0" borderId="0" xfId="38" applyNumberFormat="1" applyFont="1" applyAlignment="1">
      <alignment horizontal="center"/>
    </xf>
    <xf numFmtId="165" fontId="40" fillId="18" borderId="0" xfId="38" applyNumberFormat="1" applyFont="1" applyFill="1" applyAlignment="1">
      <alignment horizontal="center"/>
    </xf>
    <xf numFmtId="171" fontId="40" fillId="0" borderId="0" xfId="38" applyNumberFormat="1" applyFont="1" applyBorder="1"/>
    <xf numFmtId="1" fontId="40" fillId="0" borderId="0" xfId="0" applyNumberFormat="1" applyFont="1"/>
    <xf numFmtId="165" fontId="40" fillId="0" borderId="0" xfId="0" applyNumberFormat="1" applyFont="1"/>
    <xf numFmtId="164" fontId="40" fillId="18" borderId="0" xfId="64" applyNumberFormat="1" applyFont="1" applyFill="1" applyAlignment="1">
      <alignment horizontal="center"/>
    </xf>
    <xf numFmtId="170" fontId="6" fillId="0" borderId="0" xfId="39" applyNumberFormat="1" applyFont="1" applyBorder="1" applyAlignment="1">
      <alignment horizontal="center"/>
    </xf>
    <xf numFmtId="170" fontId="6" fillId="17" borderId="0" xfId="39" applyNumberFormat="1" applyFont="1" applyFill="1" applyAlignment="1">
      <alignment horizontal="center"/>
    </xf>
    <xf numFmtId="170" fontId="6" fillId="0" borderId="0" xfId="39" applyNumberFormat="1" applyFont="1" applyAlignment="1">
      <alignment horizontal="center"/>
    </xf>
    <xf numFmtId="170" fontId="42" fillId="0" borderId="0" xfId="39" applyNumberFormat="1" applyFont="1" applyAlignment="1">
      <alignment horizontal="center"/>
    </xf>
    <xf numFmtId="170" fontId="6" fillId="18" borderId="0" xfId="39" applyNumberFormat="1" applyFont="1" applyFill="1" applyAlignment="1">
      <alignment horizontal="center"/>
    </xf>
    <xf numFmtId="165" fontId="40" fillId="0" borderId="0" xfId="38" applyNumberFormat="1" applyFont="1" applyBorder="1" applyAlignment="1">
      <alignment horizontal="center"/>
    </xf>
    <xf numFmtId="165" fontId="6" fillId="17" borderId="0" xfId="64" applyNumberFormat="1" applyFont="1" applyFill="1" applyAlignment="1">
      <alignment horizontal="center"/>
    </xf>
    <xf numFmtId="165" fontId="6" fillId="18" borderId="0" xfId="64" applyNumberFormat="1" applyFont="1" applyFill="1" applyAlignment="1">
      <alignment horizontal="center"/>
    </xf>
    <xf numFmtId="165" fontId="42" fillId="17" borderId="0" xfId="0" applyNumberFormat="1" applyFont="1" applyFill="1" applyAlignment="1">
      <alignment horizontal="center"/>
    </xf>
    <xf numFmtId="165" fontId="6" fillId="17" borderId="0" xfId="38" applyNumberFormat="1" applyFont="1" applyFill="1" applyAlignment="1">
      <alignment horizontal="center"/>
    </xf>
    <xf numFmtId="43" fontId="61" fillId="0" borderId="0" xfId="38" applyFont="1"/>
    <xf numFmtId="10" fontId="6" fillId="17" borderId="0" xfId="0" applyNumberFormat="1" applyFont="1" applyFill="1" applyAlignment="1">
      <alignment horizontal="center"/>
    </xf>
    <xf numFmtId="174" fontId="40" fillId="17" borderId="0" xfId="0" applyNumberFormat="1" applyFont="1" applyFill="1" applyAlignment="1">
      <alignment horizontal="center"/>
    </xf>
    <xf numFmtId="174" fontId="40" fillId="0" borderId="0" xfId="0" applyNumberFormat="1" applyFont="1" applyAlignment="1">
      <alignment horizontal="center"/>
    </xf>
    <xf numFmtId="174" fontId="40" fillId="18" borderId="0" xfId="0" applyNumberFormat="1" applyFont="1" applyFill="1" applyAlignment="1">
      <alignment horizontal="center"/>
    </xf>
    <xf numFmtId="1" fontId="37" fillId="0" borderId="0" xfId="0" applyNumberFormat="1" applyFont="1"/>
    <xf numFmtId="1" fontId="40" fillId="18" borderId="0" xfId="0" applyNumberFormat="1" applyFont="1" applyFill="1"/>
    <xf numFmtId="165" fontId="40" fillId="18" borderId="0" xfId="38" applyNumberFormat="1" applyFont="1" applyFill="1" applyBorder="1" applyAlignment="1">
      <alignment horizontal="center"/>
    </xf>
    <xf numFmtId="0" fontId="40" fillId="18" borderId="0" xfId="0" applyFont="1" applyFill="1"/>
    <xf numFmtId="175" fontId="6" fillId="0" borderId="0" xfId="0" applyNumberFormat="1" applyFont="1"/>
    <xf numFmtId="175" fontId="6" fillId="0" borderId="0" xfId="0" applyNumberFormat="1" applyFont="1" applyAlignment="1">
      <alignment horizontal="center"/>
    </xf>
    <xf numFmtId="175" fontId="6" fillId="18" borderId="0" xfId="0" applyNumberFormat="1" applyFont="1" applyFill="1"/>
    <xf numFmtId="175" fontId="6" fillId="18" borderId="0" xfId="0" applyNumberFormat="1" applyFont="1" applyFill="1" applyAlignment="1">
      <alignment horizontal="center"/>
    </xf>
    <xf numFmtId="43" fontId="6" fillId="0" borderId="0" xfId="38" applyFont="1" applyAlignment="1">
      <alignment horizontal="center"/>
    </xf>
    <xf numFmtId="43" fontId="6" fillId="18" borderId="0" xfId="38" applyFont="1" applyFill="1" applyAlignment="1">
      <alignment horizontal="center"/>
    </xf>
    <xf numFmtId="43" fontId="6" fillId="18" borderId="0" xfId="38" applyFont="1" applyFill="1" applyBorder="1" applyAlignment="1">
      <alignment horizontal="center"/>
    </xf>
    <xf numFmtId="0" fontId="39" fillId="0" borderId="0" xfId="60" applyFont="1"/>
    <xf numFmtId="0" fontId="40" fillId="0" borderId="0" xfId="60" applyFont="1"/>
    <xf numFmtId="37" fontId="6" fillId="0" borderId="0" xfId="56" applyNumberFormat="1" applyFont="1" applyFill="1"/>
    <xf numFmtId="164" fontId="40" fillId="0" borderId="0" xfId="64" applyNumberFormat="1" applyFont="1" applyFill="1" applyAlignment="1">
      <alignment horizontal="center"/>
    </xf>
    <xf numFmtId="164" fontId="40" fillId="0" borderId="0" xfId="60" applyNumberFormat="1" applyFont="1" applyAlignment="1">
      <alignment horizontal="center"/>
    </xf>
    <xf numFmtId="8" fontId="62" fillId="17" borderId="0" xfId="0" applyNumberFormat="1" applyFont="1" applyFill="1" applyAlignment="1">
      <alignment horizontal="center"/>
    </xf>
    <xf numFmtId="171" fontId="6" fillId="0" borderId="0" xfId="38" applyNumberFormat="1" applyFont="1"/>
    <xf numFmtId="164" fontId="40" fillId="0" borderId="0" xfId="0" applyNumberFormat="1" applyFont="1"/>
    <xf numFmtId="1" fontId="39" fillId="18" borderId="0" xfId="0" applyNumberFormat="1" applyFont="1" applyFill="1"/>
    <xf numFmtId="165" fontId="39" fillId="18" borderId="0" xfId="38" applyNumberFormat="1" applyFont="1" applyFill="1" applyAlignment="1">
      <alignment horizontal="center"/>
    </xf>
    <xf numFmtId="172" fontId="40" fillId="0" borderId="0" xfId="38" applyNumberFormat="1" applyFont="1" applyBorder="1" applyAlignment="1">
      <alignment horizontal="center"/>
    </xf>
    <xf numFmtId="0" fontId="0" fillId="0" borderId="0" xfId="0" applyFill="1"/>
    <xf numFmtId="0" fontId="8" fillId="0" borderId="13" xfId="0" applyFont="1" applyBorder="1"/>
    <xf numFmtId="0" fontId="8" fillId="0" borderId="0" xfId="0" applyFont="1" applyFill="1"/>
    <xf numFmtId="0" fontId="60" fillId="0" borderId="0" xfId="0" applyFont="1" applyAlignment="1">
      <alignment horizontal="left" indent="1"/>
    </xf>
    <xf numFmtId="0" fontId="29" fillId="19" borderId="0" xfId="50" applyFont="1" applyFill="1"/>
    <xf numFmtId="164" fontId="42" fillId="17" borderId="0" xfId="0" applyNumberFormat="1" applyFont="1" applyFill="1" applyAlignment="1">
      <alignment horizontal="center"/>
    </xf>
    <xf numFmtId="2" fontId="62" fillId="17" borderId="0" xfId="0" applyNumberFormat="1" applyFont="1" applyFill="1" applyAlignment="1">
      <alignment horizontal="center"/>
    </xf>
    <xf numFmtId="0" fontId="6" fillId="18" borderId="0" xfId="0" applyFont="1" applyFill="1" applyAlignment="1">
      <alignment horizontal="center"/>
    </xf>
    <xf numFmtId="165" fontId="6" fillId="18" borderId="0" xfId="0" applyNumberFormat="1" applyFont="1" applyFill="1"/>
    <xf numFmtId="172" fontId="6" fillId="18" borderId="0" xfId="38" applyNumberFormat="1" applyFont="1" applyFill="1"/>
    <xf numFmtId="164" fontId="6" fillId="18" borderId="13" xfId="64" applyNumberFormat="1" applyFont="1" applyFill="1" applyBorder="1"/>
    <xf numFmtId="0" fontId="8" fillId="0" borderId="11" xfId="0" applyFont="1" applyBorder="1"/>
    <xf numFmtId="0" fontId="6" fillId="0" borderId="11" xfId="0" applyFont="1" applyBorder="1"/>
    <xf numFmtId="0" fontId="8" fillId="0" borderId="0" xfId="0" applyFont="1" applyBorder="1"/>
    <xf numFmtId="0" fontId="6" fillId="0" borderId="0" xfId="0" applyFont="1" applyBorder="1" applyAlignment="1">
      <alignment horizontal="left" indent="1"/>
    </xf>
    <xf numFmtId="0" fontId="6" fillId="0" borderId="13" xfId="0" applyFont="1" applyBorder="1"/>
    <xf numFmtId="166" fontId="6" fillId="0" borderId="0" xfId="0" applyNumberFormat="1" applyFont="1" applyBorder="1" applyAlignment="1">
      <alignment horizontal="center"/>
    </xf>
    <xf numFmtId="166" fontId="6" fillId="0" borderId="0" xfId="0" applyNumberFormat="1" applyFont="1" applyFill="1" applyBorder="1" applyAlignment="1">
      <alignment horizontal="center"/>
    </xf>
    <xf numFmtId="0" fontId="6" fillId="0" borderId="0" xfId="0" applyFont="1" applyFill="1"/>
    <xf numFmtId="166" fontId="41" fillId="0" borderId="0" xfId="0" applyNumberFormat="1" applyFont="1" applyFill="1" applyBorder="1" applyAlignment="1">
      <alignment horizontal="center"/>
    </xf>
    <xf numFmtId="164" fontId="8" fillId="0" borderId="0" xfId="64" applyNumberFormat="1" applyFont="1" applyBorder="1"/>
    <xf numFmtId="165" fontId="8" fillId="0" borderId="0" xfId="0" applyNumberFormat="1" applyFont="1"/>
    <xf numFmtId="44" fontId="61" fillId="0" borderId="0" xfId="39" applyFont="1" applyAlignment="1">
      <alignment horizontal="center"/>
    </xf>
    <xf numFmtId="44" fontId="40" fillId="0" borderId="0" xfId="39" applyFont="1" applyAlignment="1">
      <alignment horizontal="center"/>
    </xf>
    <xf numFmtId="44" fontId="68" fillId="0" borderId="0" xfId="39" applyFont="1" applyAlignment="1">
      <alignment horizontal="center"/>
    </xf>
    <xf numFmtId="164" fontId="43" fillId="17" borderId="0" xfId="64" applyNumberFormat="1" applyFont="1" applyFill="1" applyAlignment="1">
      <alignment horizontal="center"/>
    </xf>
    <xf numFmtId="166" fontId="40" fillId="0" borderId="0" xfId="0" applyNumberFormat="1" applyFont="1"/>
    <xf numFmtId="43" fontId="40" fillId="0" borderId="0" xfId="38" applyFont="1" applyAlignment="1">
      <alignment horizontal="center"/>
    </xf>
    <xf numFmtId="166" fontId="62" fillId="18" borderId="0" xfId="0" applyNumberFormat="1" applyFont="1" applyFill="1" applyAlignment="1">
      <alignment horizontal="center"/>
    </xf>
    <xf numFmtId="165" fontId="6" fillId="0" borderId="0" xfId="64" applyNumberFormat="1" applyFont="1" applyBorder="1"/>
    <xf numFmtId="0" fontId="4" fillId="18" borderId="0" xfId="57" applyFont="1" applyFill="1" applyBorder="1" applyAlignment="1">
      <alignment horizontal="left" vertical="center"/>
    </xf>
    <xf numFmtId="0" fontId="6" fillId="18" borderId="0" xfId="57" applyFont="1" applyFill="1" applyBorder="1" applyAlignment="1">
      <alignment horizontal="left" vertical="center"/>
    </xf>
    <xf numFmtId="0" fontId="6" fillId="0" borderId="0" xfId="58" applyFont="1" applyBorder="1"/>
    <xf numFmtId="166" fontId="8" fillId="0" borderId="11" xfId="0" applyNumberFormat="1" applyFont="1" applyBorder="1"/>
    <xf numFmtId="166" fontId="6" fillId="0" borderId="0" xfId="0" applyNumberFormat="1" applyFont="1" applyBorder="1"/>
    <xf numFmtId="164" fontId="6" fillId="0" borderId="13" xfId="64" applyNumberFormat="1" applyFont="1" applyBorder="1"/>
    <xf numFmtId="17" fontId="8" fillId="0" borderId="11" xfId="0" applyNumberFormat="1" applyFont="1" applyBorder="1" applyAlignment="1">
      <alignment horizontal="center"/>
    </xf>
    <xf numFmtId="17" fontId="8" fillId="0" borderId="13" xfId="0" applyNumberFormat="1" applyFont="1" applyBorder="1" applyAlignment="1">
      <alignment horizontal="center"/>
    </xf>
    <xf numFmtId="0" fontId="6" fillId="0" borderId="13" xfId="0" applyFont="1" applyBorder="1" applyAlignment="1">
      <alignment horizontal="left" indent="1"/>
    </xf>
    <xf numFmtId="0" fontId="8" fillId="0" borderId="0" xfId="0" applyFont="1" applyAlignment="1">
      <alignment horizontal="left" indent="1"/>
    </xf>
    <xf numFmtId="0" fontId="0" fillId="0" borderId="0" xfId="0" applyAlignment="1">
      <alignment horizontal="left" indent="1"/>
    </xf>
    <xf numFmtId="0" fontId="0" fillId="0" borderId="0" xfId="0" applyBorder="1" applyAlignment="1">
      <alignment horizontal="left" indent="1"/>
    </xf>
    <xf numFmtId="0" fontId="8" fillId="0" borderId="11" xfId="0" applyFont="1" applyBorder="1" applyAlignment="1">
      <alignment horizontal="left" indent="1"/>
    </xf>
    <xf numFmtId="0" fontId="0" fillId="0" borderId="13" xfId="0" applyBorder="1" applyAlignment="1">
      <alignment horizontal="left" indent="1"/>
    </xf>
    <xf numFmtId="164" fontId="6" fillId="0" borderId="13" xfId="64" applyNumberFormat="1" applyFont="1" applyBorder="1" applyAlignment="1">
      <alignment horizontal="right"/>
    </xf>
    <xf numFmtId="164" fontId="6" fillId="0" borderId="0" xfId="64" applyNumberFormat="1" applyFont="1" applyBorder="1" applyAlignment="1">
      <alignment horizontal="right"/>
    </xf>
    <xf numFmtId="0" fontId="6" fillId="0" borderId="0" xfId="0" applyFont="1" applyAlignment="1">
      <alignment horizontal="left" indent="1"/>
    </xf>
    <xf numFmtId="164" fontId="60" fillId="0" borderId="0" xfId="64" applyNumberFormat="1" applyFont="1"/>
    <xf numFmtId="164" fontId="60" fillId="18" borderId="0" xfId="64" applyNumberFormat="1" applyFont="1" applyFill="1"/>
    <xf numFmtId="172" fontId="8" fillId="0" borderId="0" xfId="38" applyNumberFormat="1" applyFont="1"/>
    <xf numFmtId="166" fontId="39" fillId="0" borderId="0" xfId="0" applyNumberFormat="1" applyFont="1" applyAlignment="1">
      <alignment horizontal="right"/>
    </xf>
    <xf numFmtId="166" fontId="8" fillId="0" borderId="0" xfId="0" applyNumberFormat="1" applyFont="1" applyAlignment="1">
      <alignment horizontal="right"/>
    </xf>
    <xf numFmtId="17" fontId="8" fillId="0" borderId="0" xfId="0" applyNumberFormat="1" applyFont="1" applyBorder="1" applyAlignment="1">
      <alignment horizontal="right"/>
    </xf>
    <xf numFmtId="164" fontId="6" fillId="18" borderId="13" xfId="64" applyNumberFormat="1" applyFont="1" applyFill="1" applyBorder="1" applyAlignment="1">
      <alignment horizontal="right"/>
    </xf>
    <xf numFmtId="166" fontId="8" fillId="0" borderId="0" xfId="0" applyNumberFormat="1" applyFont="1" applyBorder="1" applyAlignment="1">
      <alignment horizontal="right"/>
    </xf>
    <xf numFmtId="166" fontId="39" fillId="0" borderId="11" xfId="0" applyNumberFormat="1" applyFont="1" applyBorder="1" applyAlignment="1">
      <alignment horizontal="center"/>
    </xf>
    <xf numFmtId="166" fontId="39" fillId="18" borderId="11" xfId="0" applyNumberFormat="1" applyFont="1" applyFill="1" applyBorder="1" applyAlignment="1">
      <alignment horizontal="center"/>
    </xf>
    <xf numFmtId="165" fontId="39" fillId="0" borderId="0" xfId="38" applyNumberFormat="1" applyFont="1" applyAlignment="1">
      <alignment horizontal="center"/>
    </xf>
    <xf numFmtId="164" fontId="60" fillId="18" borderId="0" xfId="64" applyNumberFormat="1" applyFont="1" applyFill="1" applyAlignment="1"/>
    <xf numFmtId="166" fontId="6" fillId="0" borderId="0" xfId="0" applyNumberFormat="1" applyFont="1" applyAlignment="1"/>
    <xf numFmtId="171" fontId="6" fillId="0" borderId="0" xfId="38" applyNumberFormat="1" applyFont="1" applyAlignment="1"/>
    <xf numFmtId="164" fontId="6" fillId="18" borderId="0" xfId="64" applyNumberFormat="1" applyFont="1" applyFill="1" applyAlignment="1"/>
    <xf numFmtId="165" fontId="8" fillId="0" borderId="0" xfId="0" applyNumberFormat="1" applyFont="1" applyAlignment="1"/>
    <xf numFmtId="165" fontId="8" fillId="18" borderId="0" xfId="38" applyNumberFormat="1" applyFont="1" applyFill="1" applyAlignment="1">
      <alignment horizontal="right"/>
    </xf>
    <xf numFmtId="165" fontId="8" fillId="18" borderId="0" xfId="38" applyNumberFormat="1" applyFont="1" applyFill="1" applyAlignment="1"/>
    <xf numFmtId="165" fontId="8" fillId="0" borderId="0" xfId="38" applyNumberFormat="1" applyFont="1"/>
    <xf numFmtId="165" fontId="8" fillId="18" borderId="0" xfId="38" applyNumberFormat="1" applyFont="1" applyFill="1"/>
    <xf numFmtId="165" fontId="6" fillId="0" borderId="0" xfId="64" applyNumberFormat="1" applyFont="1"/>
    <xf numFmtId="165" fontId="39" fillId="0" borderId="0" xfId="0" applyNumberFormat="1" applyFont="1" applyAlignment="1">
      <alignment horizontal="right"/>
    </xf>
    <xf numFmtId="165" fontId="39" fillId="18" borderId="0" xfId="0" applyNumberFormat="1" applyFont="1" applyFill="1" applyAlignment="1">
      <alignment horizontal="right"/>
    </xf>
    <xf numFmtId="165" fontId="39" fillId="18" borderId="0" xfId="0" applyNumberFormat="1" applyFont="1" applyFill="1" applyAlignment="1"/>
    <xf numFmtId="1" fontId="6" fillId="18" borderId="0" xfId="38" applyNumberFormat="1" applyFont="1" applyFill="1"/>
    <xf numFmtId="1" fontId="6" fillId="0" borderId="0" xfId="38" applyNumberFormat="1" applyFont="1"/>
    <xf numFmtId="1" fontId="42" fillId="0" borderId="0" xfId="0" applyNumberFormat="1" applyFont="1"/>
    <xf numFmtId="1" fontId="6" fillId="0" borderId="13" xfId="64" applyNumberFormat="1" applyFont="1" applyBorder="1"/>
    <xf numFmtId="1" fontId="42" fillId="0" borderId="13" xfId="64" applyNumberFormat="1" applyFont="1" applyBorder="1"/>
    <xf numFmtId="1" fontId="40" fillId="18" borderId="13" xfId="0" applyNumberFormat="1" applyFont="1" applyFill="1" applyBorder="1"/>
    <xf numFmtId="165" fontId="40" fillId="18" borderId="13" xfId="38" applyNumberFormat="1" applyFont="1" applyFill="1" applyBorder="1" applyAlignment="1">
      <alignment horizontal="center"/>
    </xf>
    <xf numFmtId="164" fontId="6" fillId="0" borderId="13" xfId="0" applyNumberFormat="1" applyFont="1" applyBorder="1" applyAlignment="1">
      <alignment horizontal="center"/>
    </xf>
    <xf numFmtId="164" fontId="22" fillId="0" borderId="0" xfId="64" applyNumberFormat="1" applyFont="1" applyAlignment="1">
      <alignment horizontal="center"/>
    </xf>
    <xf numFmtId="1" fontId="6" fillId="0" borderId="0" xfId="0" applyNumberFormat="1" applyFont="1"/>
    <xf numFmtId="1" fontId="40" fillId="17" borderId="0" xfId="0" applyNumberFormat="1" applyFont="1" applyFill="1" applyAlignment="1">
      <alignment horizontal="center"/>
    </xf>
    <xf numFmtId="165" fontId="40" fillId="20" borderId="0" xfId="0" applyNumberFormat="1" applyFont="1" applyFill="1" applyAlignment="1">
      <alignment horizontal="center"/>
    </xf>
    <xf numFmtId="9" fontId="43" fillId="17" borderId="0" xfId="64" applyNumberFormat="1" applyFont="1" applyFill="1" applyAlignment="1">
      <alignment horizontal="center"/>
    </xf>
    <xf numFmtId="9" fontId="40" fillId="18" borderId="13" xfId="64" applyFont="1" applyFill="1" applyBorder="1" applyAlignment="1">
      <alignment horizontal="center"/>
    </xf>
    <xf numFmtId="17" fontId="8" fillId="0" borderId="0" xfId="0" applyNumberFormat="1" applyFont="1" applyFill="1" applyBorder="1" applyAlignment="1">
      <alignment horizontal="center"/>
    </xf>
    <xf numFmtId="0" fontId="4" fillId="0" borderId="0" xfId="0" applyFont="1" applyFill="1" applyBorder="1"/>
    <xf numFmtId="9" fontId="39" fillId="0" borderId="0" xfId="64" applyFont="1"/>
    <xf numFmtId="166" fontId="40" fillId="17" borderId="0" xfId="0" applyNumberFormat="1" applyFont="1" applyFill="1" applyBorder="1" applyAlignment="1">
      <alignment horizontal="center"/>
    </xf>
    <xf numFmtId="166" fontId="40" fillId="0" borderId="0" xfId="0" applyNumberFormat="1" applyFont="1" applyBorder="1" applyAlignment="1">
      <alignment horizontal="center"/>
    </xf>
    <xf numFmtId="9" fontId="78" fillId="17" borderId="0" xfId="64" applyFont="1" applyFill="1" applyAlignment="1">
      <alignment horizontal="center"/>
    </xf>
    <xf numFmtId="164" fontId="40" fillId="0" borderId="0" xfId="64" applyNumberFormat="1" applyFont="1" applyBorder="1" applyAlignment="1">
      <alignment horizontal="center"/>
    </xf>
    <xf numFmtId="10" fontId="6" fillId="0" borderId="0" xfId="0" applyNumberFormat="1" applyFont="1"/>
    <xf numFmtId="1" fontId="6" fillId="0" borderId="0" xfId="0" applyNumberFormat="1" applyFont="1" applyAlignment="1">
      <alignment horizontal="center"/>
    </xf>
    <xf numFmtId="9" fontId="6" fillId="0" borderId="0" xfId="64" applyFont="1" applyAlignment="1">
      <alignment horizontal="center"/>
    </xf>
    <xf numFmtId="172" fontId="8" fillId="0" borderId="0" xfId="64" applyNumberFormat="1" applyFont="1"/>
    <xf numFmtId="166" fontId="40" fillId="20" borderId="0" xfId="0" applyNumberFormat="1" applyFont="1" applyFill="1" applyAlignment="1">
      <alignment horizontal="center"/>
    </xf>
    <xf numFmtId="164" fontId="78" fillId="20" borderId="0" xfId="0" applyNumberFormat="1" applyFont="1" applyFill="1" applyAlignment="1">
      <alignment horizontal="center"/>
    </xf>
    <xf numFmtId="164" fontId="40" fillId="20" borderId="0" xfId="0" applyNumberFormat="1" applyFont="1" applyFill="1" applyAlignment="1">
      <alignment horizontal="center"/>
    </xf>
    <xf numFmtId="8" fontId="39" fillId="20" borderId="0" xfId="0" applyNumberFormat="1" applyFont="1" applyFill="1" applyAlignment="1">
      <alignment horizontal="center"/>
    </xf>
    <xf numFmtId="165" fontId="6" fillId="0" borderId="13" xfId="64" applyNumberFormat="1" applyFont="1" applyBorder="1"/>
    <xf numFmtId="1" fontId="8" fillId="0" borderId="0" xfId="64" applyNumberFormat="1" applyFont="1" applyBorder="1"/>
    <xf numFmtId="1" fontId="74" fillId="0" borderId="0" xfId="64" applyNumberFormat="1" applyFont="1" applyBorder="1"/>
    <xf numFmtId="164" fontId="8" fillId="18" borderId="0" xfId="64" applyNumberFormat="1" applyFont="1" applyFill="1" applyBorder="1"/>
    <xf numFmtId="1" fontId="60" fillId="0" borderId="0" xfId="64" applyNumberFormat="1" applyFont="1"/>
    <xf numFmtId="1" fontId="67" fillId="0" borderId="0" xfId="64" applyNumberFormat="1" applyFont="1" applyBorder="1"/>
    <xf numFmtId="172" fontId="40" fillId="0" borderId="0" xfId="38" applyNumberFormat="1" applyFont="1" applyAlignment="1">
      <alignment horizontal="center"/>
    </xf>
    <xf numFmtId="171" fontId="40" fillId="0" borderId="0" xfId="38" applyNumberFormat="1" applyFont="1" applyAlignment="1">
      <alignment horizontal="center"/>
    </xf>
    <xf numFmtId="3" fontId="39" fillId="17" borderId="0" xfId="0" applyNumberFormat="1" applyFont="1" applyFill="1" applyAlignment="1">
      <alignment horizontal="left" indent="2"/>
    </xf>
    <xf numFmtId="10" fontId="40" fillId="0" borderId="0" xfId="64" applyNumberFormat="1" applyFont="1" applyAlignment="1">
      <alignment horizontal="center"/>
    </xf>
    <xf numFmtId="10" fontId="6" fillId="0" borderId="0" xfId="64" applyNumberFormat="1" applyFont="1" applyBorder="1"/>
    <xf numFmtId="165" fontId="6" fillId="21" borderId="0" xfId="0" applyNumberFormat="1" applyFont="1" applyFill="1" applyAlignment="1">
      <alignment horizontal="center"/>
    </xf>
    <xf numFmtId="165" fontId="40" fillId="21" borderId="0" xfId="0" applyNumberFormat="1" applyFont="1" applyFill="1" applyAlignment="1">
      <alignment horizontal="center"/>
    </xf>
    <xf numFmtId="173" fontId="6" fillId="21" borderId="0" xfId="38" applyNumberFormat="1" applyFont="1" applyFill="1" applyBorder="1" applyAlignment="1">
      <alignment horizontal="center"/>
    </xf>
    <xf numFmtId="173" fontId="6" fillId="21" borderId="0" xfId="38" applyNumberFormat="1" applyFont="1" applyFill="1" applyAlignment="1">
      <alignment horizontal="center"/>
    </xf>
    <xf numFmtId="173" fontId="40" fillId="21" borderId="0" xfId="38" applyNumberFormat="1" applyFont="1" applyFill="1" applyAlignment="1">
      <alignment horizontal="center"/>
    </xf>
    <xf numFmtId="171" fontId="62" fillId="17" borderId="0" xfId="38" applyNumberFormat="1" applyFont="1" applyFill="1" applyAlignment="1">
      <alignment horizontal="center"/>
    </xf>
    <xf numFmtId="1" fontId="43" fillId="17" borderId="0" xfId="0" applyNumberFormat="1" applyFont="1" applyFill="1" applyAlignment="1">
      <alignment horizontal="center"/>
    </xf>
    <xf numFmtId="1" fontId="61" fillId="0" borderId="0" xfId="0" applyNumberFormat="1" applyFont="1" applyAlignment="1">
      <alignment horizontal="center"/>
    </xf>
    <xf numFmtId="173" fontId="42" fillId="0" borderId="0" xfId="38" applyNumberFormat="1" applyFont="1" applyFill="1" applyAlignment="1">
      <alignment horizontal="center"/>
    </xf>
    <xf numFmtId="165" fontId="42" fillId="0" borderId="0" xfId="0" applyNumberFormat="1" applyFont="1" applyFill="1" applyAlignment="1">
      <alignment horizontal="center"/>
    </xf>
    <xf numFmtId="165" fontId="40" fillId="0" borderId="0" xfId="38" applyNumberFormat="1" applyFont="1" applyFill="1" applyBorder="1" applyAlignment="1">
      <alignment horizontal="center"/>
    </xf>
    <xf numFmtId="165" fontId="6" fillId="20" borderId="0" xfId="0" applyNumberFormat="1" applyFont="1" applyFill="1" applyAlignment="1">
      <alignment horizontal="center"/>
    </xf>
    <xf numFmtId="173" fontId="6" fillId="20" borderId="0" xfId="38" applyNumberFormat="1" applyFont="1" applyFill="1" applyAlignment="1">
      <alignment horizontal="center"/>
    </xf>
    <xf numFmtId="165" fontId="40" fillId="20" borderId="0" xfId="38" applyNumberFormat="1" applyFont="1" applyFill="1" applyBorder="1" applyAlignment="1">
      <alignment horizontal="center"/>
    </xf>
    <xf numFmtId="0" fontId="39" fillId="0" borderId="0" xfId="0" applyFont="1" applyFill="1"/>
    <xf numFmtId="171" fontId="40" fillId="0" borderId="0" xfId="38" applyNumberFormat="1" applyFont="1" applyFill="1"/>
    <xf numFmtId="0" fontId="40" fillId="0" borderId="0" xfId="0" applyFont="1" applyFill="1"/>
    <xf numFmtId="173" fontId="6" fillId="0" borderId="0" xfId="38" applyNumberFormat="1" applyFont="1" applyFill="1" applyBorder="1" applyAlignment="1">
      <alignment horizontal="center"/>
    </xf>
    <xf numFmtId="171" fontId="40" fillId="0" borderId="0" xfId="38" applyNumberFormat="1" applyFont="1" applyFill="1" applyBorder="1"/>
    <xf numFmtId="164" fontId="43" fillId="0" borderId="0" xfId="64" applyNumberFormat="1" applyFont="1" applyAlignment="1">
      <alignment horizontal="center"/>
    </xf>
    <xf numFmtId="172" fontId="6" fillId="0" borderId="0" xfId="38" applyNumberFormat="1" applyFont="1" applyBorder="1"/>
    <xf numFmtId="41" fontId="6" fillId="20" borderId="0" xfId="0" applyNumberFormat="1" applyFont="1" applyFill="1"/>
    <xf numFmtId="0" fontId="40" fillId="20" borderId="0" xfId="0" applyFont="1" applyFill="1"/>
    <xf numFmtId="0" fontId="12" fillId="18" borderId="0" xfId="0" applyFont="1" applyFill="1"/>
    <xf numFmtId="2" fontId="42" fillId="0" borderId="0" xfId="0" applyNumberFormat="1" applyFont="1" applyFill="1" applyAlignment="1">
      <alignment horizontal="center"/>
    </xf>
    <xf numFmtId="171" fontId="6" fillId="0" borderId="0" xfId="38" applyNumberFormat="1" applyFont="1" applyBorder="1"/>
    <xf numFmtId="172" fontId="6" fillId="0" borderId="0" xfId="38" applyNumberFormat="1" applyFont="1"/>
    <xf numFmtId="0" fontId="8" fillId="22" borderId="12" xfId="0" applyFont="1" applyFill="1" applyBorder="1"/>
    <xf numFmtId="17" fontId="8" fillId="22" borderId="12" xfId="0" applyNumberFormat="1" applyFont="1" applyFill="1" applyBorder="1" applyAlignment="1">
      <alignment horizontal="center"/>
    </xf>
    <xf numFmtId="0" fontId="8" fillId="22" borderId="14" xfId="0" applyFont="1" applyFill="1" applyBorder="1" applyAlignment="1">
      <alignment horizontal="center"/>
    </xf>
    <xf numFmtId="166" fontId="8" fillId="22" borderId="15" xfId="0" applyNumberFormat="1" applyFont="1" applyFill="1" applyBorder="1" applyAlignment="1">
      <alignment horizontal="right"/>
    </xf>
    <xf numFmtId="0" fontId="8" fillId="22" borderId="15" xfId="0" applyFont="1" applyFill="1" applyBorder="1" applyAlignment="1">
      <alignment horizontal="center"/>
    </xf>
    <xf numFmtId="0" fontId="8" fillId="22" borderId="15" xfId="0" applyFont="1" applyFill="1" applyBorder="1" applyAlignment="1">
      <alignment horizontal="right"/>
    </xf>
    <xf numFmtId="0" fontId="8" fillId="22" borderId="17" xfId="0" applyFont="1" applyFill="1" applyBorder="1" applyAlignment="1">
      <alignment horizontal="center"/>
    </xf>
    <xf numFmtId="0" fontId="8" fillId="22" borderId="17" xfId="0" applyFont="1" applyFill="1" applyBorder="1" applyAlignment="1">
      <alignment horizontal="right"/>
    </xf>
    <xf numFmtId="166" fontId="8" fillId="22" borderId="15" xfId="0" applyNumberFormat="1" applyFont="1" applyFill="1" applyBorder="1"/>
    <xf numFmtId="166" fontId="6" fillId="22" borderId="15" xfId="0" applyNumberFormat="1" applyFont="1" applyFill="1" applyBorder="1"/>
    <xf numFmtId="166" fontId="6" fillId="22" borderId="15" xfId="0" applyNumberFormat="1" applyFont="1" applyFill="1" applyBorder="1" applyAlignment="1">
      <alignment horizontal="right"/>
    </xf>
    <xf numFmtId="164" fontId="6" fillId="22" borderId="17" xfId="64" applyNumberFormat="1" applyFont="1" applyFill="1" applyBorder="1"/>
    <xf numFmtId="164" fontId="6" fillId="22" borderId="17" xfId="64" applyNumberFormat="1" applyFont="1" applyFill="1" applyBorder="1" applyAlignment="1">
      <alignment horizontal="right"/>
    </xf>
    <xf numFmtId="164" fontId="6" fillId="22" borderId="15" xfId="64" applyNumberFormat="1" applyFont="1" applyFill="1" applyBorder="1"/>
    <xf numFmtId="164" fontId="72" fillId="22" borderId="15" xfId="64" applyNumberFormat="1" applyFont="1" applyFill="1" applyBorder="1" applyAlignment="1">
      <alignment horizontal="right"/>
    </xf>
    <xf numFmtId="164" fontId="72" fillId="22" borderId="15" xfId="64" applyNumberFormat="1" applyFont="1" applyFill="1" applyBorder="1" applyAlignment="1"/>
    <xf numFmtId="164" fontId="6" fillId="22" borderId="15" xfId="64" applyNumberFormat="1" applyFont="1" applyFill="1" applyBorder="1" applyAlignment="1"/>
    <xf numFmtId="164" fontId="6" fillId="22" borderId="17" xfId="64" applyNumberFormat="1" applyFont="1" applyFill="1" applyBorder="1" applyAlignment="1"/>
    <xf numFmtId="165" fontId="8" fillId="22" borderId="15" xfId="38" applyNumberFormat="1" applyFont="1" applyFill="1" applyBorder="1"/>
    <xf numFmtId="165" fontId="8" fillId="22" borderId="15" xfId="38" applyNumberFormat="1" applyFont="1" applyFill="1" applyBorder="1" applyAlignment="1">
      <alignment horizontal="right"/>
    </xf>
    <xf numFmtId="164" fontId="60" fillId="22" borderId="15" xfId="64" applyNumberFormat="1" applyFont="1" applyFill="1" applyBorder="1"/>
    <xf numFmtId="164" fontId="60" fillId="22" borderId="15" xfId="64" applyNumberFormat="1" applyFont="1" applyFill="1" applyBorder="1" applyAlignment="1">
      <alignment horizontal="right"/>
    </xf>
    <xf numFmtId="165" fontId="8" fillId="22" borderId="15" xfId="0" applyNumberFormat="1" applyFont="1" applyFill="1" applyBorder="1"/>
    <xf numFmtId="165" fontId="8" fillId="22" borderId="15" xfId="0" applyNumberFormat="1" applyFont="1" applyFill="1" applyBorder="1" applyAlignment="1">
      <alignment horizontal="right"/>
    </xf>
    <xf numFmtId="164" fontId="60" fillId="22" borderId="15" xfId="64" applyNumberFormat="1" applyFont="1" applyFill="1" applyBorder="1" applyAlignment="1"/>
    <xf numFmtId="165" fontId="39" fillId="22" borderId="15" xfId="0" applyNumberFormat="1" applyFont="1" applyFill="1" applyBorder="1" applyAlignment="1">
      <alignment horizontal="right"/>
    </xf>
    <xf numFmtId="164" fontId="6" fillId="22" borderId="15" xfId="64" applyNumberFormat="1" applyFont="1" applyFill="1" applyBorder="1" applyAlignment="1">
      <alignment horizontal="right"/>
    </xf>
    <xf numFmtId="164" fontId="8" fillId="22" borderId="15" xfId="64" applyNumberFormat="1" applyFont="1" applyFill="1" applyBorder="1"/>
    <xf numFmtId="171" fontId="6" fillId="22" borderId="15" xfId="38" applyNumberFormat="1" applyFont="1" applyFill="1" applyBorder="1"/>
    <xf numFmtId="3" fontId="6" fillId="22" borderId="15" xfId="0" applyNumberFormat="1" applyFont="1" applyFill="1" applyBorder="1"/>
    <xf numFmtId="1" fontId="6" fillId="22" borderId="15" xfId="0" applyNumberFormat="1" applyFont="1" applyFill="1" applyBorder="1"/>
    <xf numFmtId="165" fontId="8" fillId="22" borderId="15" xfId="38" applyNumberFormat="1" applyFont="1" applyFill="1" applyBorder="1" applyAlignment="1"/>
    <xf numFmtId="165" fontId="8" fillId="22" borderId="15" xfId="0" applyNumberFormat="1" applyFont="1" applyFill="1" applyBorder="1" applyAlignment="1"/>
    <xf numFmtId="166" fontId="6" fillId="22" borderId="15" xfId="0" applyNumberFormat="1" applyFont="1" applyFill="1" applyBorder="1" applyAlignment="1"/>
    <xf numFmtId="1" fontId="6" fillId="22" borderId="15" xfId="38" applyNumberFormat="1" applyFont="1" applyFill="1" applyBorder="1"/>
    <xf numFmtId="166" fontId="8" fillId="22" borderId="16" xfId="0" applyNumberFormat="1" applyFont="1" applyFill="1" applyBorder="1"/>
    <xf numFmtId="164" fontId="73" fillId="22" borderId="15" xfId="64" applyNumberFormat="1" applyFont="1" applyFill="1" applyBorder="1"/>
    <xf numFmtId="17" fontId="8" fillId="0" borderId="12" xfId="0" applyNumberFormat="1" applyFont="1" applyFill="1" applyBorder="1" applyAlignment="1">
      <alignment horizontal="center"/>
    </xf>
    <xf numFmtId="166" fontId="8" fillId="0" borderId="0" xfId="0" applyNumberFormat="1" applyFont="1" applyFill="1" applyAlignment="1">
      <alignment horizontal="right"/>
    </xf>
    <xf numFmtId="17" fontId="8" fillId="0" borderId="0" xfId="0" applyNumberFormat="1" applyFont="1" applyFill="1" applyBorder="1" applyAlignment="1">
      <alignment horizontal="right"/>
    </xf>
    <xf numFmtId="17" fontId="8" fillId="0" borderId="13" xfId="0" applyNumberFormat="1" applyFont="1" applyFill="1" applyBorder="1" applyAlignment="1">
      <alignment horizontal="right"/>
    </xf>
    <xf numFmtId="166" fontId="6" fillId="0" borderId="0" xfId="0" applyNumberFormat="1" applyFont="1" applyFill="1" applyAlignment="1">
      <alignment horizontal="right"/>
    </xf>
    <xf numFmtId="164" fontId="6" fillId="0" borderId="0" xfId="64" applyNumberFormat="1" applyFont="1" applyFill="1" applyAlignment="1">
      <alignment horizontal="right"/>
    </xf>
    <xf numFmtId="166" fontId="8" fillId="0" borderId="11" xfId="0" applyNumberFormat="1" applyFont="1" applyFill="1" applyBorder="1" applyAlignment="1">
      <alignment horizontal="right"/>
    </xf>
    <xf numFmtId="164" fontId="6" fillId="0" borderId="0" xfId="64" applyNumberFormat="1" applyFont="1" applyFill="1" applyBorder="1" applyAlignment="1">
      <alignment horizontal="right"/>
    </xf>
    <xf numFmtId="164" fontId="6" fillId="0" borderId="0" xfId="64" applyNumberFormat="1" applyFont="1" applyFill="1" applyBorder="1" applyAlignment="1"/>
    <xf numFmtId="164" fontId="6" fillId="0" borderId="0" xfId="0" applyNumberFormat="1" applyFont="1" applyFill="1" applyAlignment="1"/>
    <xf numFmtId="164" fontId="6" fillId="0" borderId="13" xfId="64" applyNumberFormat="1" applyFont="1" applyFill="1" applyBorder="1" applyAlignment="1"/>
    <xf numFmtId="164" fontId="6" fillId="0" borderId="13" xfId="64" applyNumberFormat="1" applyFont="1" applyFill="1" applyBorder="1"/>
    <xf numFmtId="165" fontId="8" fillId="0" borderId="0" xfId="38" applyNumberFormat="1" applyFont="1" applyFill="1" applyAlignment="1">
      <alignment horizontal="right"/>
    </xf>
    <xf numFmtId="164" fontId="60" fillId="0" borderId="0" xfId="64" applyNumberFormat="1" applyFont="1" applyFill="1" applyAlignment="1">
      <alignment horizontal="right"/>
    </xf>
    <xf numFmtId="165" fontId="8" fillId="0" borderId="0" xfId="0" applyNumberFormat="1" applyFont="1" applyFill="1" applyAlignment="1">
      <alignment horizontal="right"/>
    </xf>
    <xf numFmtId="165" fontId="39" fillId="0" borderId="0" xfId="0" applyNumberFormat="1" applyFont="1" applyFill="1" applyAlignment="1">
      <alignment horizontal="right"/>
    </xf>
    <xf numFmtId="164" fontId="6" fillId="0" borderId="0" xfId="64" applyNumberFormat="1" applyFont="1" applyFill="1"/>
    <xf numFmtId="164" fontId="8" fillId="0" borderId="0" xfId="64" applyNumberFormat="1" applyFont="1" applyFill="1"/>
    <xf numFmtId="171" fontId="6" fillId="0" borderId="0" xfId="38" applyNumberFormat="1" applyFont="1" applyFill="1"/>
    <xf numFmtId="3" fontId="6" fillId="0" borderId="0" xfId="0" applyNumberFormat="1" applyFont="1" applyFill="1"/>
    <xf numFmtId="1" fontId="6" fillId="0" borderId="0" xfId="0" applyNumberFormat="1" applyFont="1" applyFill="1"/>
    <xf numFmtId="17" fontId="8" fillId="0" borderId="13" xfId="0" applyNumberFormat="1" applyFont="1" applyFill="1" applyBorder="1" applyAlignment="1">
      <alignment horizontal="center"/>
    </xf>
    <xf numFmtId="166" fontId="8" fillId="0" borderId="0" xfId="0" applyNumberFormat="1" applyFont="1" applyFill="1"/>
    <xf numFmtId="166" fontId="6" fillId="0" borderId="0" xfId="0" applyNumberFormat="1" applyFont="1" applyFill="1"/>
    <xf numFmtId="164" fontId="6" fillId="0" borderId="0" xfId="64" applyNumberFormat="1" applyFont="1" applyFill="1" applyBorder="1"/>
    <xf numFmtId="166" fontId="39" fillId="0" borderId="11" xfId="0" applyNumberFormat="1" applyFont="1" applyFill="1" applyBorder="1" applyAlignment="1">
      <alignment horizontal="center"/>
    </xf>
    <xf numFmtId="166" fontId="6" fillId="0" borderId="0" xfId="0" applyNumberFormat="1" applyFont="1" applyFill="1" applyBorder="1"/>
    <xf numFmtId="165" fontId="8" fillId="0" borderId="0" xfId="38" applyNumberFormat="1" applyFont="1" applyFill="1"/>
    <xf numFmtId="164" fontId="60" fillId="0" borderId="0" xfId="64" applyNumberFormat="1" applyFont="1" applyFill="1"/>
    <xf numFmtId="165" fontId="8" fillId="0" borderId="0" xfId="0" applyNumberFormat="1" applyFont="1" applyFill="1"/>
    <xf numFmtId="172" fontId="8" fillId="0" borderId="0" xfId="64" applyNumberFormat="1" applyFont="1" applyFill="1"/>
    <xf numFmtId="17" fontId="39" fillId="0" borderId="12" xfId="0" applyNumberFormat="1" applyFont="1" applyFill="1" applyBorder="1" applyAlignment="1">
      <alignment horizontal="center"/>
    </xf>
    <xf numFmtId="0" fontId="39" fillId="22" borderId="14" xfId="0" applyFont="1" applyFill="1" applyBorder="1" applyAlignment="1">
      <alignment horizontal="center"/>
    </xf>
    <xf numFmtId="1" fontId="42" fillId="22" borderId="15" xfId="64" applyNumberFormat="1" applyFont="1" applyFill="1" applyBorder="1"/>
    <xf numFmtId="1" fontId="74" fillId="22" borderId="15" xfId="64" applyNumberFormat="1" applyFont="1" applyFill="1" applyBorder="1"/>
    <xf numFmtId="1" fontId="6" fillId="22" borderId="15" xfId="64" applyNumberFormat="1" applyFont="1" applyFill="1" applyBorder="1"/>
    <xf numFmtId="1" fontId="42" fillId="22" borderId="17" xfId="64" applyNumberFormat="1" applyFont="1" applyFill="1" applyBorder="1"/>
    <xf numFmtId="165" fontId="40" fillId="22" borderId="15" xfId="38" applyNumberFormat="1" applyFont="1" applyFill="1" applyBorder="1" applyAlignment="1">
      <alignment horizontal="center"/>
    </xf>
    <xf numFmtId="164" fontId="6" fillId="22" borderId="15" xfId="64" applyNumberFormat="1" applyFont="1" applyFill="1" applyBorder="1" applyAlignment="1">
      <alignment horizontal="center"/>
    </xf>
    <xf numFmtId="164" fontId="8" fillId="22" borderId="15" xfId="64" applyNumberFormat="1" applyFont="1" applyFill="1" applyBorder="1" applyAlignment="1">
      <alignment horizontal="center"/>
    </xf>
    <xf numFmtId="164" fontId="6" fillId="22" borderId="15" xfId="0" applyNumberFormat="1" applyFont="1" applyFill="1" applyBorder="1" applyAlignment="1">
      <alignment horizontal="center"/>
    </xf>
    <xf numFmtId="164" fontId="6" fillId="22" borderId="17" xfId="0" applyNumberFormat="1" applyFont="1" applyFill="1" applyBorder="1" applyAlignment="1">
      <alignment horizontal="center"/>
    </xf>
    <xf numFmtId="165" fontId="6" fillId="22" borderId="15" xfId="64" applyNumberFormat="1" applyFont="1" applyFill="1" applyBorder="1"/>
    <xf numFmtId="172" fontId="6" fillId="22" borderId="17" xfId="38" applyNumberFormat="1" applyFont="1" applyFill="1" applyBorder="1"/>
    <xf numFmtId="164" fontId="40" fillId="22" borderId="15" xfId="64" applyNumberFormat="1" applyFont="1" applyFill="1" applyBorder="1" applyAlignment="1">
      <alignment horizontal="center"/>
    </xf>
    <xf numFmtId="164" fontId="39" fillId="22" borderId="15" xfId="64" applyNumberFormat="1" applyFont="1" applyFill="1" applyBorder="1" applyAlignment="1">
      <alignment horizontal="center"/>
    </xf>
    <xf numFmtId="164" fontId="40" fillId="22" borderId="17" xfId="64" applyNumberFormat="1" applyFont="1" applyFill="1" applyBorder="1" applyAlignment="1">
      <alignment horizontal="center"/>
    </xf>
    <xf numFmtId="164" fontId="42" fillId="22" borderId="15" xfId="64" applyNumberFormat="1" applyFont="1" applyFill="1" applyBorder="1"/>
    <xf numFmtId="1" fontId="6" fillId="0" borderId="0" xfId="64" applyNumberFormat="1" applyFont="1" applyBorder="1"/>
    <xf numFmtId="164" fontId="60" fillId="0" borderId="0" xfId="64" applyNumberFormat="1" applyFont="1" applyBorder="1"/>
    <xf numFmtId="3" fontId="42" fillId="0" borderId="0" xfId="0" applyNumberFormat="1" applyFont="1" applyBorder="1"/>
    <xf numFmtId="4" fontId="6" fillId="22" borderId="15" xfId="64" applyNumberFormat="1" applyFont="1" applyFill="1" applyBorder="1"/>
    <xf numFmtId="164" fontId="76" fillId="0" borderId="0" xfId="64" applyNumberFormat="1" applyFont="1"/>
    <xf numFmtId="186" fontId="42" fillId="0" borderId="0" xfId="0" applyNumberFormat="1" applyFont="1" applyAlignment="1">
      <alignment horizontal="center"/>
    </xf>
    <xf numFmtId="186" fontId="6" fillId="0" borderId="0" xfId="0" applyNumberFormat="1" applyFont="1" applyAlignment="1">
      <alignment horizontal="center"/>
    </xf>
    <xf numFmtId="8" fontId="76" fillId="17" borderId="0" xfId="0" applyNumberFormat="1" applyFont="1" applyFill="1" applyAlignment="1">
      <alignment horizontal="center"/>
    </xf>
    <xf numFmtId="4" fontId="76" fillId="0" borderId="0" xfId="0" applyNumberFormat="1" applyFont="1" applyAlignment="1">
      <alignment horizontal="center"/>
    </xf>
    <xf numFmtId="4" fontId="76" fillId="17" borderId="0" xfId="0" applyNumberFormat="1" applyFont="1" applyFill="1" applyAlignment="1">
      <alignment horizontal="center"/>
    </xf>
    <xf numFmtId="4" fontId="76" fillId="18" borderId="0" xfId="0" applyNumberFormat="1" applyFont="1" applyFill="1" applyAlignment="1">
      <alignment horizontal="center"/>
    </xf>
    <xf numFmtId="4" fontId="61" fillId="0" borderId="0" xfId="0" applyNumberFormat="1" applyFont="1" applyAlignment="1">
      <alignment horizontal="center"/>
    </xf>
    <xf numFmtId="4" fontId="6" fillId="22" borderId="15" xfId="0" applyNumberFormat="1" applyFont="1" applyFill="1" applyBorder="1"/>
    <xf numFmtId="165" fontId="79" fillId="0" borderId="0" xfId="0" applyNumberFormat="1" applyFont="1" applyAlignment="1">
      <alignment horizontal="center"/>
    </xf>
    <xf numFmtId="3" fontId="79" fillId="0" borderId="0" xfId="0" applyNumberFormat="1" applyFont="1" applyAlignment="1">
      <alignment horizontal="center"/>
    </xf>
    <xf numFmtId="171" fontId="6" fillId="17" borderId="0" xfId="38" applyNumberFormat="1" applyFont="1" applyFill="1" applyAlignment="1">
      <alignment horizontal="center"/>
    </xf>
    <xf numFmtId="43" fontId="40" fillId="17" borderId="0" xfId="38" applyFont="1" applyFill="1" applyAlignment="1">
      <alignment horizontal="center"/>
    </xf>
    <xf numFmtId="9" fontId="43" fillId="0" borderId="0" xfId="64" applyFont="1" applyAlignment="1">
      <alignment horizontal="center"/>
    </xf>
    <xf numFmtId="172" fontId="61" fillId="0" borderId="0" xfId="38" applyNumberFormat="1" applyFont="1" applyBorder="1" applyAlignment="1">
      <alignment horizontal="center"/>
    </xf>
    <xf numFmtId="164" fontId="8" fillId="0" borderId="0" xfId="0" applyNumberFormat="1" applyFont="1" applyBorder="1" applyAlignment="1"/>
    <xf numFmtId="170" fontId="6" fillId="0" borderId="0" xfId="0" applyNumberFormat="1" applyFont="1" applyAlignment="1">
      <alignment horizontal="center"/>
    </xf>
    <xf numFmtId="165" fontId="6" fillId="18" borderId="0" xfId="38" applyNumberFormat="1" applyFont="1" applyFill="1" applyAlignment="1">
      <alignment horizontal="center"/>
    </xf>
    <xf numFmtId="9" fontId="40" fillId="22" borderId="15" xfId="64" applyFont="1" applyFill="1" applyBorder="1" applyAlignment="1">
      <alignment horizontal="center"/>
    </xf>
    <xf numFmtId="43" fontId="82" fillId="17" borderId="0" xfId="38" applyFont="1" applyFill="1" applyAlignment="1">
      <alignment horizontal="center"/>
    </xf>
    <xf numFmtId="43" fontId="82" fillId="0" borderId="0" xfId="38" applyFont="1" applyAlignment="1">
      <alignment horizontal="center"/>
    </xf>
    <xf numFmtId="2" fontId="82" fillId="17" borderId="0" xfId="0" applyNumberFormat="1" applyFont="1" applyFill="1" applyAlignment="1">
      <alignment horizontal="center"/>
    </xf>
    <xf numFmtId="4" fontId="39" fillId="0" borderId="0" xfId="0" applyNumberFormat="1" applyFont="1" applyAlignment="1">
      <alignment horizontal="center"/>
    </xf>
    <xf numFmtId="43" fontId="76" fillId="17" borderId="0" xfId="38" applyNumberFormat="1" applyFont="1" applyFill="1" applyAlignment="1">
      <alignment horizontal="center"/>
    </xf>
    <xf numFmtId="43" fontId="76" fillId="0" borderId="0" xfId="38" applyNumberFormat="1" applyFont="1" applyAlignment="1">
      <alignment horizontal="center"/>
    </xf>
    <xf numFmtId="43" fontId="40" fillId="17" borderId="0" xfId="0" applyNumberFormat="1" applyFont="1" applyFill="1" applyAlignment="1">
      <alignment horizontal="center"/>
    </xf>
    <xf numFmtId="187" fontId="40" fillId="0" borderId="0" xfId="64" applyNumberFormat="1" applyFont="1" applyAlignment="1">
      <alignment horizontal="center"/>
    </xf>
    <xf numFmtId="1" fontId="6" fillId="0" borderId="0" xfId="64" applyNumberFormat="1" applyFont="1" applyFill="1" applyBorder="1"/>
    <xf numFmtId="165" fontId="8" fillId="18" borderId="0" xfId="0" applyNumberFormat="1" applyFont="1" applyFill="1" applyAlignment="1">
      <alignment horizontal="center"/>
    </xf>
    <xf numFmtId="9" fontId="42" fillId="0" borderId="0" xfId="64" applyFont="1" applyAlignment="1">
      <alignment horizontal="center"/>
    </xf>
    <xf numFmtId="0" fontId="1" fillId="0" borderId="0" xfId="77"/>
    <xf numFmtId="10" fontId="6" fillId="17" borderId="0" xfId="64" applyNumberFormat="1" applyFont="1" applyFill="1" applyAlignment="1">
      <alignment horizontal="center"/>
    </xf>
    <xf numFmtId="10" fontId="40" fillId="0" borderId="0" xfId="0" applyNumberFormat="1" applyFont="1" applyAlignment="1">
      <alignment horizontal="center"/>
    </xf>
    <xf numFmtId="10" fontId="41" fillId="17" borderId="0" xfId="64" applyNumberFormat="1" applyFont="1" applyFill="1" applyAlignment="1">
      <alignment horizontal="center"/>
    </xf>
    <xf numFmtId="176" fontId="6" fillId="17" borderId="0" xfId="0" applyNumberFormat="1" applyFont="1" applyFill="1" applyAlignment="1">
      <alignment horizontal="center"/>
    </xf>
    <xf numFmtId="10" fontId="40" fillId="17" borderId="0" xfId="64" applyNumberFormat="1" applyFont="1" applyFill="1" applyAlignment="1">
      <alignment horizontal="center"/>
    </xf>
    <xf numFmtId="10" fontId="42" fillId="0" borderId="0" xfId="64" applyNumberFormat="1" applyFont="1" applyBorder="1"/>
    <xf numFmtId="166" fontId="79" fillId="0" borderId="0" xfId="0" applyNumberFormat="1" applyFont="1" applyAlignment="1">
      <alignment horizontal="center"/>
    </xf>
    <xf numFmtId="166" fontId="79" fillId="0" borderId="13" xfId="0" applyNumberFormat="1" applyFont="1" applyBorder="1" applyAlignment="1">
      <alignment horizontal="center"/>
    </xf>
    <xf numFmtId="166" fontId="83" fillId="0" borderId="0" xfId="0" applyNumberFormat="1" applyFont="1" applyAlignment="1">
      <alignment horizontal="center"/>
    </xf>
    <xf numFmtId="166" fontId="79" fillId="0" borderId="0" xfId="0" applyNumberFormat="1" applyFont="1" applyBorder="1" applyAlignment="1">
      <alignment horizontal="center"/>
    </xf>
    <xf numFmtId="164" fontId="1" fillId="17" borderId="0" xfId="0" applyNumberFormat="1" applyFont="1" applyFill="1" applyAlignment="1">
      <alignment horizontal="center"/>
    </xf>
    <xf numFmtId="176" fontId="40" fillId="0" borderId="0" xfId="0" applyNumberFormat="1" applyFont="1" applyFill="1" applyAlignment="1">
      <alignment horizontal="center"/>
    </xf>
    <xf numFmtId="173" fontId="1" fillId="0" borderId="0" xfId="38" applyNumberFormat="1" applyFont="1" applyFill="1" applyAlignment="1">
      <alignment horizontal="center"/>
    </xf>
    <xf numFmtId="166" fontId="1" fillId="0" borderId="0" xfId="0" applyNumberFormat="1" applyFont="1" applyAlignment="1">
      <alignment horizontal="center"/>
    </xf>
    <xf numFmtId="166" fontId="1" fillId="0" borderId="13" xfId="0" applyNumberFormat="1" applyFont="1" applyBorder="1" applyAlignment="1">
      <alignment horizontal="center"/>
    </xf>
    <xf numFmtId="0" fontId="1" fillId="0" borderId="0" xfId="0" applyFont="1" applyFill="1" applyBorder="1"/>
    <xf numFmtId="166" fontId="1" fillId="17" borderId="0" xfId="0" applyNumberFormat="1" applyFont="1" applyFill="1" applyAlignment="1">
      <alignment horizontal="center"/>
    </xf>
    <xf numFmtId="184" fontId="42" fillId="0" borderId="0" xfId="64" applyNumberFormat="1" applyFont="1" applyAlignment="1">
      <alignment horizontal="center"/>
    </xf>
    <xf numFmtId="3" fontId="39" fillId="17" borderId="0" xfId="0" applyNumberFormat="1" applyFont="1" applyFill="1" applyAlignment="1">
      <alignment horizontal="center"/>
    </xf>
    <xf numFmtId="172" fontId="1" fillId="0" borderId="0" xfId="38" applyNumberFormat="1" applyFont="1"/>
    <xf numFmtId="165" fontId="40" fillId="18" borderId="13" xfId="38" applyNumberFormat="1" applyFont="1" applyFill="1" applyBorder="1" applyAlignment="1">
      <alignment horizontal="left"/>
    </xf>
    <xf numFmtId="164" fontId="40" fillId="18" borderId="13" xfId="64" applyNumberFormat="1" applyFont="1" applyFill="1" applyBorder="1" applyAlignment="1">
      <alignment horizontal="right"/>
    </xf>
    <xf numFmtId="1" fontId="1" fillId="22" borderId="15" xfId="38" applyNumberFormat="1" applyFont="1" applyFill="1" applyBorder="1"/>
    <xf numFmtId="1" fontId="1" fillId="22" borderId="15" xfId="0" applyNumberFormat="1" applyFont="1" applyFill="1" applyBorder="1"/>
    <xf numFmtId="164" fontId="1" fillId="22" borderId="15" xfId="64" applyNumberFormat="1" applyFont="1" applyFill="1" applyBorder="1"/>
    <xf numFmtId="172" fontId="40" fillId="17" borderId="0" xfId="38" applyNumberFormat="1" applyFont="1" applyFill="1" applyAlignment="1">
      <alignment horizontal="center"/>
    </xf>
    <xf numFmtId="164" fontId="74" fillId="0" borderId="0" xfId="64" applyNumberFormat="1" applyFont="1" applyBorder="1"/>
    <xf numFmtId="172" fontId="6" fillId="22" borderId="15" xfId="38" applyNumberFormat="1" applyFont="1" applyFill="1" applyBorder="1"/>
    <xf numFmtId="165" fontId="1" fillId="0" borderId="0" xfId="0" applyNumberFormat="1" applyFont="1" applyAlignment="1">
      <alignment horizontal="center"/>
    </xf>
    <xf numFmtId="165" fontId="1" fillId="0" borderId="13" xfId="0" applyNumberFormat="1" applyFont="1" applyBorder="1" applyAlignment="1">
      <alignment horizontal="center"/>
    </xf>
    <xf numFmtId="166" fontId="1" fillId="0" borderId="0" xfId="0" applyNumberFormat="1" applyFont="1" applyBorder="1" applyAlignment="1">
      <alignment horizontal="center"/>
    </xf>
    <xf numFmtId="171" fontId="8" fillId="0" borderId="0" xfId="38" applyNumberFormat="1" applyFont="1" applyFill="1" applyBorder="1" applyAlignment="1">
      <alignment horizontal="center"/>
    </xf>
    <xf numFmtId="10" fontId="6" fillId="0" borderId="0" xfId="0" applyNumberFormat="1" applyFont="1" applyAlignment="1">
      <alignment horizontal="center"/>
    </xf>
    <xf numFmtId="164" fontId="40" fillId="18" borderId="13" xfId="64" applyNumberFormat="1" applyFont="1" applyFill="1" applyBorder="1" applyAlignment="1">
      <alignment horizontal="center"/>
    </xf>
    <xf numFmtId="164" fontId="1" fillId="0" borderId="0" xfId="64" applyNumberFormat="1" applyFont="1"/>
    <xf numFmtId="172" fontId="1" fillId="0" borderId="0" xfId="38" applyNumberFormat="1" applyFont="1" applyBorder="1"/>
    <xf numFmtId="172" fontId="1" fillId="22" borderId="15" xfId="38" applyNumberFormat="1" applyFont="1" applyFill="1" applyBorder="1"/>
    <xf numFmtId="9" fontId="6" fillId="0" borderId="13" xfId="64" applyFont="1" applyBorder="1"/>
    <xf numFmtId="172" fontId="40" fillId="20" borderId="0" xfId="38" applyNumberFormat="1" applyFont="1" applyFill="1" applyAlignment="1">
      <alignment horizontal="center"/>
    </xf>
    <xf numFmtId="9" fontId="6" fillId="18" borderId="0" xfId="64" applyFont="1" applyFill="1"/>
    <xf numFmtId="164" fontId="3" fillId="0" borderId="0" xfId="64" applyNumberFormat="1" applyFont="1" applyBorder="1"/>
    <xf numFmtId="9" fontId="42" fillId="0" borderId="0" xfId="64" applyFont="1" applyBorder="1"/>
    <xf numFmtId="43" fontId="42" fillId="0" borderId="0" xfId="38" applyFont="1" applyBorder="1"/>
    <xf numFmtId="172" fontId="42" fillId="0" borderId="0" xfId="38" applyNumberFormat="1" applyFont="1" applyBorder="1"/>
    <xf numFmtId="10" fontId="40" fillId="0" borderId="0" xfId="38" applyNumberFormat="1" applyFont="1" applyAlignment="1">
      <alignment horizontal="center"/>
    </xf>
    <xf numFmtId="2" fontId="6" fillId="22" borderId="15" xfId="64" applyNumberFormat="1" applyFont="1" applyFill="1" applyBorder="1"/>
    <xf numFmtId="179" fontId="40" fillId="17" borderId="0" xfId="0" applyNumberFormat="1" applyFont="1" applyFill="1" applyAlignment="1">
      <alignment horizontal="center"/>
    </xf>
    <xf numFmtId="165" fontId="1" fillId="17" borderId="0" xfId="0" applyNumberFormat="1" applyFont="1" applyFill="1" applyAlignment="1">
      <alignment horizontal="center"/>
    </xf>
    <xf numFmtId="43" fontId="40" fillId="0" borderId="0" xfId="38" applyFont="1" applyBorder="1" applyAlignment="1">
      <alignment horizontal="center"/>
    </xf>
    <xf numFmtId="177" fontId="40" fillId="0" borderId="0" xfId="38" applyNumberFormat="1" applyFont="1" applyBorder="1" applyAlignment="1">
      <alignment horizontal="center"/>
    </xf>
    <xf numFmtId="171" fontId="61" fillId="0" borderId="0" xfId="38" applyNumberFormat="1" applyFont="1" applyAlignment="1">
      <alignment horizontal="center"/>
    </xf>
    <xf numFmtId="185" fontId="40" fillId="0" borderId="0" xfId="38" applyNumberFormat="1" applyFont="1" applyAlignment="1">
      <alignment horizontal="center"/>
    </xf>
    <xf numFmtId="177" fontId="40" fillId="0" borderId="0" xfId="38" applyNumberFormat="1" applyFont="1" applyAlignment="1">
      <alignment horizontal="center"/>
    </xf>
    <xf numFmtId="4" fontId="39" fillId="17" borderId="0" xfId="0" applyNumberFormat="1" applyFont="1" applyFill="1" applyAlignment="1">
      <alignment horizontal="center"/>
    </xf>
    <xf numFmtId="164" fontId="1" fillId="0" borderId="0" xfId="0" applyNumberFormat="1" applyFont="1" applyAlignment="1">
      <alignment horizontal="center"/>
    </xf>
    <xf numFmtId="164" fontId="1" fillId="0" borderId="0" xfId="64" applyNumberFormat="1" applyFont="1" applyAlignment="1">
      <alignment horizontal="center"/>
    </xf>
    <xf numFmtId="9" fontId="1" fillId="0" borderId="0" xfId="64" applyFont="1" applyAlignment="1">
      <alignment horizontal="center"/>
    </xf>
    <xf numFmtId="171" fontId="42" fillId="0" borderId="0" xfId="38" applyNumberFormat="1" applyFont="1" applyBorder="1"/>
    <xf numFmtId="10" fontId="40" fillId="17" borderId="0" xfId="0" applyNumberFormat="1" applyFont="1" applyFill="1" applyAlignment="1">
      <alignment horizontal="center"/>
    </xf>
    <xf numFmtId="43" fontId="40" fillId="0" borderId="0" xfId="38" applyNumberFormat="1" applyFont="1" applyAlignment="1">
      <alignment horizontal="center"/>
    </xf>
    <xf numFmtId="43" fontId="6" fillId="17" borderId="0" xfId="38" applyFont="1" applyFill="1" applyAlignment="1">
      <alignment horizontal="center"/>
    </xf>
    <xf numFmtId="164" fontId="6" fillId="0" borderId="0" xfId="64" applyNumberFormat="1" applyFont="1" applyAlignment="1">
      <alignment horizontal="center"/>
    </xf>
    <xf numFmtId="9" fontId="42" fillId="22" borderId="15" xfId="64" applyFont="1" applyFill="1" applyBorder="1"/>
    <xf numFmtId="43" fontId="40" fillId="17" borderId="0" xfId="38" applyNumberFormat="1" applyFont="1" applyFill="1" applyAlignment="1">
      <alignment horizontal="center"/>
    </xf>
    <xf numFmtId="165" fontId="84" fillId="0" borderId="0" xfId="0" applyNumberFormat="1" applyFont="1" applyAlignment="1">
      <alignment horizontal="center"/>
    </xf>
    <xf numFmtId="165" fontId="84" fillId="0" borderId="13" xfId="0" applyNumberFormat="1" applyFont="1" applyBorder="1" applyAlignment="1">
      <alignment horizontal="center"/>
    </xf>
    <xf numFmtId="189" fontId="40" fillId="0" borderId="0" xfId="0" applyNumberFormat="1" applyFont="1" applyAlignment="1">
      <alignment horizontal="center"/>
    </xf>
    <xf numFmtId="9" fontId="43" fillId="17" borderId="0" xfId="64" applyFont="1" applyFill="1" applyAlignment="1">
      <alignment horizontal="center"/>
    </xf>
    <xf numFmtId="164" fontId="6" fillId="0" borderId="0" xfId="64" applyNumberFormat="1" applyFont="1" applyAlignment="1">
      <alignment horizontal="center"/>
    </xf>
    <xf numFmtId="165" fontId="84" fillId="0" borderId="0" xfId="38" applyNumberFormat="1" applyFont="1" applyAlignment="1">
      <alignment horizontal="center"/>
    </xf>
    <xf numFmtId="9" fontId="6" fillId="0" borderId="0" xfId="64" applyNumberFormat="1" applyFont="1" applyAlignment="1">
      <alignment horizontal="center"/>
    </xf>
    <xf numFmtId="164" fontId="6" fillId="0" borderId="0" xfId="64" applyNumberFormat="1" applyFont="1" applyAlignment="1">
      <alignment horizontal="center"/>
    </xf>
    <xf numFmtId="8" fontId="6" fillId="0" borderId="0" xfId="38" applyNumberFormat="1" applyFont="1" applyAlignment="1">
      <alignment horizontal="center"/>
    </xf>
    <xf numFmtId="182" fontId="42" fillId="0" borderId="0" xfId="64" applyNumberFormat="1" applyFont="1" applyBorder="1"/>
    <xf numFmtId="164" fontId="6" fillId="0" borderId="0" xfId="64" applyNumberFormat="1" applyFont="1" applyAlignment="1">
      <alignment horizontal="center"/>
    </xf>
    <xf numFmtId="1" fontId="42" fillId="0" borderId="0" xfId="0" applyNumberFormat="1" applyFont="1" applyAlignment="1">
      <alignment horizontal="center"/>
    </xf>
    <xf numFmtId="1" fontId="42" fillId="17" borderId="0" xfId="0" applyNumberFormat="1" applyFont="1" applyFill="1" applyAlignment="1">
      <alignment horizontal="center"/>
    </xf>
    <xf numFmtId="0" fontId="43" fillId="0" borderId="0" xfId="0" applyFont="1" applyFill="1"/>
    <xf numFmtId="165" fontId="43" fillId="0" borderId="0" xfId="0" applyNumberFormat="1" applyFont="1" applyFill="1"/>
    <xf numFmtId="0" fontId="8" fillId="0" borderId="0" xfId="0" applyFont="1" applyFill="1" applyAlignment="1">
      <alignment horizontal="left"/>
    </xf>
    <xf numFmtId="44" fontId="8" fillId="0" borderId="0" xfId="39" applyFont="1" applyFill="1"/>
    <xf numFmtId="164" fontId="43" fillId="0" borderId="0" xfId="64" applyNumberFormat="1" applyFont="1" applyFill="1"/>
    <xf numFmtId="164" fontId="80" fillId="0" borderId="0" xfId="64" applyNumberFormat="1" applyFont="1" applyFill="1" applyAlignment="1">
      <alignment horizontal="right"/>
    </xf>
    <xf numFmtId="0" fontId="80" fillId="0" borderId="0" xfId="0" applyFont="1" applyFill="1"/>
    <xf numFmtId="43" fontId="81" fillId="0" borderId="0" xfId="38" applyFont="1" applyFill="1" applyAlignment="1">
      <alignment horizontal="right"/>
    </xf>
    <xf numFmtId="185" fontId="78" fillId="0" borderId="0" xfId="38" applyNumberFormat="1" applyFont="1" applyFill="1" applyAlignment="1">
      <alignment horizontal="right"/>
    </xf>
    <xf numFmtId="171" fontId="6" fillId="0" borderId="0" xfId="38" applyNumberFormat="1" applyFont="1" applyFill="1" applyAlignment="1">
      <alignment horizontal="right"/>
    </xf>
    <xf numFmtId="10" fontId="6" fillId="0" borderId="0" xfId="64" applyNumberFormat="1" applyFont="1" applyFill="1"/>
    <xf numFmtId="183" fontId="6" fillId="0" borderId="0" xfId="0" applyNumberFormat="1" applyFont="1" applyFill="1"/>
    <xf numFmtId="9" fontId="6" fillId="0" borderId="0" xfId="64" applyFont="1" applyFill="1"/>
    <xf numFmtId="172" fontId="6" fillId="0" borderId="0" xfId="38" applyNumberFormat="1" applyFont="1" applyFill="1"/>
    <xf numFmtId="172" fontId="73" fillId="0" borderId="15" xfId="38" applyNumberFormat="1" applyFont="1" applyFill="1" applyBorder="1"/>
    <xf numFmtId="164" fontId="42" fillId="0" borderId="0" xfId="64" applyNumberFormat="1" applyFont="1" applyFill="1"/>
    <xf numFmtId="0" fontId="1" fillId="0" borderId="0" xfId="0" applyFont="1" applyFill="1"/>
    <xf numFmtId="43" fontId="6" fillId="0" borderId="0" xfId="0" applyNumberFormat="1" applyFont="1" applyFill="1"/>
    <xf numFmtId="164" fontId="6" fillId="0" borderId="0" xfId="0" applyNumberFormat="1" applyFont="1" applyFill="1"/>
    <xf numFmtId="10" fontId="6" fillId="0" borderId="0" xfId="0" applyNumberFormat="1" applyFont="1" applyFill="1"/>
    <xf numFmtId="164" fontId="78" fillId="0" borderId="0" xfId="64" applyNumberFormat="1" applyFont="1" applyFill="1"/>
    <xf numFmtId="10" fontId="78" fillId="0" borderId="0" xfId="64" applyNumberFormat="1" applyFont="1" applyFill="1"/>
    <xf numFmtId="2" fontId="6" fillId="0" borderId="0" xfId="0" applyNumberFormat="1" applyFont="1" applyFill="1"/>
    <xf numFmtId="43" fontId="6" fillId="0" borderId="0" xfId="38" applyFont="1" applyFill="1" applyBorder="1"/>
    <xf numFmtId="177" fontId="6" fillId="0" borderId="0" xfId="38" applyNumberFormat="1" applyFont="1" applyFill="1" applyBorder="1"/>
    <xf numFmtId="171" fontId="6" fillId="0" borderId="0" xfId="38" applyNumberFormat="1" applyFont="1" applyFill="1" applyBorder="1"/>
    <xf numFmtId="44" fontId="8" fillId="0" borderId="0" xfId="39" applyFont="1" applyFill="1" applyBorder="1"/>
    <xf numFmtId="164" fontId="6" fillId="0" borderId="0" xfId="64" applyNumberFormat="1" applyFont="1" applyFill="1" applyAlignment="1">
      <alignment horizontal="center"/>
    </xf>
    <xf numFmtId="164" fontId="6" fillId="0" borderId="0" xfId="0" applyNumberFormat="1" applyFont="1" applyFill="1" applyAlignment="1">
      <alignment horizontal="right"/>
    </xf>
    <xf numFmtId="0" fontId="78" fillId="0" borderId="0" xfId="0" applyFont="1" applyFill="1"/>
    <xf numFmtId="0" fontId="8" fillId="0" borderId="12" xfId="0" applyFont="1" applyFill="1" applyBorder="1"/>
    <xf numFmtId="0" fontId="1" fillId="0" borderId="12" xfId="0" applyFont="1" applyFill="1" applyBorder="1"/>
    <xf numFmtId="0" fontId="1" fillId="0" borderId="12" xfId="0" applyFont="1" applyFill="1" applyBorder="1" applyAlignment="1">
      <alignment horizontal="center"/>
    </xf>
    <xf numFmtId="0" fontId="6" fillId="0" borderId="12" xfId="0" applyFont="1" applyFill="1" applyBorder="1" applyAlignment="1">
      <alignment horizontal="center"/>
    </xf>
    <xf numFmtId="0" fontId="6" fillId="0" borderId="12" xfId="0" applyFont="1" applyFill="1" applyBorder="1"/>
    <xf numFmtId="165" fontId="76" fillId="0" borderId="0" xfId="0" applyNumberFormat="1" applyFont="1" applyFill="1" applyBorder="1"/>
    <xf numFmtId="164" fontId="8" fillId="0" borderId="0" xfId="64" applyNumberFormat="1" applyFont="1" applyFill="1" applyAlignment="1">
      <alignment horizontal="center"/>
    </xf>
    <xf numFmtId="164" fontId="78" fillId="0" borderId="0" xfId="64" applyNumberFormat="1" applyFont="1" applyFill="1" applyAlignment="1">
      <alignment horizontal="center"/>
    </xf>
    <xf numFmtId="166" fontId="1" fillId="0" borderId="0" xfId="0" applyNumberFormat="1" applyFont="1" applyFill="1" applyBorder="1"/>
    <xf numFmtId="0" fontId="1" fillId="0" borderId="0" xfId="0" applyFont="1" applyFill="1" applyBorder="1" applyAlignment="1">
      <alignment horizontal="center"/>
    </xf>
    <xf numFmtId="164" fontId="8" fillId="0" borderId="0" xfId="64" applyNumberFormat="1" applyFont="1" applyFill="1" applyBorder="1" applyAlignment="1">
      <alignment horizontal="center"/>
    </xf>
    <xf numFmtId="3" fontId="6" fillId="0" borderId="0" xfId="64" applyNumberFormat="1" applyFont="1" applyFill="1" applyAlignment="1">
      <alignment horizontal="center"/>
    </xf>
    <xf numFmtId="164" fontId="1" fillId="0" borderId="0" xfId="64" applyNumberFormat="1" applyFont="1" applyFill="1" applyBorder="1"/>
    <xf numFmtId="43" fontId="8" fillId="0" borderId="0" xfId="38" applyFont="1" applyFill="1" applyBorder="1" applyAlignment="1">
      <alignment horizontal="center"/>
    </xf>
    <xf numFmtId="165" fontId="76" fillId="0" borderId="0" xfId="0" applyNumberFormat="1" applyFont="1" applyFill="1"/>
    <xf numFmtId="166" fontId="1" fillId="0" borderId="0" xfId="0" applyNumberFormat="1" applyFont="1" applyFill="1"/>
    <xf numFmtId="4" fontId="6" fillId="0" borderId="0" xfId="0" applyNumberFormat="1" applyFont="1" applyFill="1"/>
    <xf numFmtId="43" fontId="6" fillId="0" borderId="0" xfId="38" applyFont="1" applyFill="1"/>
    <xf numFmtId="9" fontId="6" fillId="0" borderId="0" xfId="0" applyNumberFormat="1" applyFont="1" applyFill="1"/>
    <xf numFmtId="164" fontId="1" fillId="0" borderId="0" xfId="64" applyNumberFormat="1" applyFont="1" applyFill="1"/>
    <xf numFmtId="9" fontId="1" fillId="0" borderId="0" xfId="64" applyFont="1" applyFill="1"/>
    <xf numFmtId="10" fontId="1" fillId="0" borderId="0" xfId="0" applyNumberFormat="1" applyFont="1" applyFill="1"/>
    <xf numFmtId="164" fontId="76" fillId="0" borderId="0" xfId="64" applyNumberFormat="1" applyFont="1" applyFill="1"/>
    <xf numFmtId="9" fontId="6" fillId="0" borderId="0" xfId="64" applyNumberFormat="1" applyFont="1" applyFill="1"/>
    <xf numFmtId="0" fontId="76" fillId="0" borderId="0" xfId="0" applyFont="1" applyFill="1"/>
    <xf numFmtId="171" fontId="6" fillId="0" borderId="0" xfId="38" applyNumberFormat="1" applyFont="1" applyFill="1" applyAlignment="1">
      <alignment horizontal="center"/>
    </xf>
    <xf numFmtId="10" fontId="8" fillId="0" borderId="0" xfId="64" applyNumberFormat="1" applyFont="1" applyFill="1"/>
    <xf numFmtId="43" fontId="42" fillId="0" borderId="0" xfId="38" applyFont="1" applyFill="1"/>
    <xf numFmtId="185" fontId="6" fillId="0" borderId="0" xfId="38" applyNumberFormat="1" applyFont="1" applyFill="1"/>
    <xf numFmtId="1" fontId="76" fillId="0" borderId="0" xfId="0" applyNumberFormat="1" applyFont="1" applyFill="1"/>
    <xf numFmtId="9" fontId="78" fillId="0" borderId="0" xfId="64" applyFont="1" applyFill="1"/>
    <xf numFmtId="9" fontId="76" fillId="0" borderId="0" xfId="64" applyFont="1" applyFill="1"/>
    <xf numFmtId="9" fontId="8" fillId="0" borderId="0" xfId="64" applyFont="1" applyFill="1" applyAlignment="1">
      <alignment horizontal="right"/>
    </xf>
    <xf numFmtId="164" fontId="76" fillId="0" borderId="0" xfId="0" applyNumberFormat="1" applyFont="1" applyFill="1"/>
    <xf numFmtId="164" fontId="6" fillId="0" borderId="15" xfId="64" applyNumberFormat="1" applyFont="1" applyFill="1" applyBorder="1"/>
    <xf numFmtId="188" fontId="6" fillId="0" borderId="0" xfId="0" applyNumberFormat="1" applyFont="1" applyFill="1"/>
    <xf numFmtId="4" fontId="6" fillId="0" borderId="0" xfId="64" applyNumberFormat="1" applyFont="1" applyFill="1" applyAlignment="1">
      <alignment horizontal="right"/>
    </xf>
    <xf numFmtId="43" fontId="78" fillId="0" borderId="0" xfId="38" applyFont="1" applyFill="1" applyAlignment="1">
      <alignment horizontal="right"/>
    </xf>
    <xf numFmtId="43" fontId="78" fillId="0" borderId="0" xfId="38" applyFont="1" applyFill="1" applyAlignment="1">
      <alignment horizontal="center"/>
    </xf>
    <xf numFmtId="3" fontId="6" fillId="0" borderId="0" xfId="64" applyNumberFormat="1" applyFont="1" applyFill="1" applyAlignment="1">
      <alignment horizontal="right"/>
    </xf>
    <xf numFmtId="172" fontId="76" fillId="0" borderId="0" xfId="0" applyNumberFormat="1" applyFont="1" applyFill="1"/>
    <xf numFmtId="43" fontId="76" fillId="0" borderId="0" xfId="0" applyNumberFormat="1" applyFont="1" applyFill="1"/>
    <xf numFmtId="166" fontId="0" fillId="0" borderId="0" xfId="0" applyNumberFormat="1" applyFill="1"/>
    <xf numFmtId="9" fontId="77" fillId="0" borderId="0" xfId="0" applyNumberFormat="1" applyFont="1" applyFill="1"/>
    <xf numFmtId="165" fontId="0" fillId="0" borderId="0" xfId="0" applyNumberFormat="1" applyFill="1"/>
    <xf numFmtId="171" fontId="0" fillId="0" borderId="0" xfId="38" applyNumberFormat="1" applyFont="1" applyFill="1"/>
    <xf numFmtId="4" fontId="0" fillId="0" borderId="0" xfId="0" applyNumberFormat="1" applyFill="1"/>
    <xf numFmtId="164" fontId="0" fillId="0" borderId="0" xfId="64" applyNumberFormat="1" applyFont="1" applyFill="1"/>
    <xf numFmtId="10" fontId="0" fillId="0" borderId="0" xfId="64" applyNumberFormat="1" applyFont="1" applyFill="1"/>
    <xf numFmtId="9" fontId="0" fillId="0" borderId="0" xfId="0" applyNumberFormat="1" applyFill="1"/>
    <xf numFmtId="43" fontId="0" fillId="0" borderId="0" xfId="0" applyNumberFormat="1" applyFill="1"/>
    <xf numFmtId="9" fontId="0" fillId="0" borderId="0" xfId="64" applyFont="1" applyFill="1"/>
    <xf numFmtId="171" fontId="0" fillId="0" borderId="0" xfId="0" applyNumberFormat="1" applyFill="1"/>
    <xf numFmtId="10" fontId="0" fillId="0" borderId="0" xfId="0" applyNumberFormat="1" applyFill="1"/>
    <xf numFmtId="171" fontId="60" fillId="0" borderId="0" xfId="38" applyNumberFormat="1" applyFont="1" applyFill="1"/>
    <xf numFmtId="43" fontId="0" fillId="0" borderId="0" xfId="38" applyNumberFormat="1" applyFont="1" applyFill="1"/>
    <xf numFmtId="8" fontId="0" fillId="0" borderId="0" xfId="0" applyNumberFormat="1" applyFill="1"/>
    <xf numFmtId="172" fontId="0" fillId="0" borderId="0" xfId="0" applyNumberFormat="1" applyFill="1"/>
    <xf numFmtId="164" fontId="0" fillId="0" borderId="0" xfId="0" applyNumberFormat="1" applyFill="1"/>
    <xf numFmtId="0" fontId="63" fillId="0" borderId="0" xfId="0" applyFont="1" applyFill="1"/>
    <xf numFmtId="165" fontId="6" fillId="0" borderId="0" xfId="0" applyNumberFormat="1" applyFont="1" applyFill="1"/>
    <xf numFmtId="164" fontId="61" fillId="0" borderId="0" xfId="64" applyNumberFormat="1" applyFont="1" applyFill="1" applyBorder="1" applyAlignment="1">
      <alignment horizontal="center"/>
    </xf>
    <xf numFmtId="164" fontId="40" fillId="0" borderId="0" xfId="64" applyNumberFormat="1" applyFont="1" applyFill="1" applyBorder="1"/>
    <xf numFmtId="164" fontId="22" fillId="0" borderId="0" xfId="64" applyNumberFormat="1" applyFont="1" applyFill="1" applyBorder="1" applyAlignment="1">
      <alignment horizontal="center"/>
    </xf>
    <xf numFmtId="172" fontId="6" fillId="0" borderId="0" xfId="38" applyNumberFormat="1" applyFont="1" applyFill="1" applyBorder="1"/>
    <xf numFmtId="9" fontId="6" fillId="0" borderId="0" xfId="64" applyFont="1" applyFill="1" applyBorder="1"/>
    <xf numFmtId="9" fontId="61" fillId="0" borderId="0" xfId="64" applyFont="1" applyFill="1" applyBorder="1" applyAlignment="1">
      <alignment horizontal="center"/>
    </xf>
    <xf numFmtId="9" fontId="40" fillId="0" borderId="0" xfId="64" applyFont="1" applyFill="1" applyBorder="1"/>
    <xf numFmtId="43" fontId="61" fillId="0" borderId="0" xfId="38" applyNumberFormat="1" applyFont="1" applyFill="1" applyBorder="1" applyAlignment="1">
      <alignment horizontal="center"/>
    </xf>
    <xf numFmtId="171" fontId="61" fillId="0" borderId="0" xfId="38" applyNumberFormat="1" applyFont="1" applyFill="1" applyBorder="1" applyAlignment="1">
      <alignment horizontal="center"/>
    </xf>
    <xf numFmtId="172" fontId="61" fillId="0" borderId="0" xfId="38" applyNumberFormat="1" applyFont="1" applyFill="1" applyBorder="1" applyAlignment="1">
      <alignment horizontal="center"/>
    </xf>
    <xf numFmtId="43" fontId="6" fillId="0" borderId="0" xfId="64" applyNumberFormat="1" applyFont="1" applyFill="1" applyBorder="1"/>
    <xf numFmtId="43" fontId="61" fillId="0" borderId="0" xfId="38" applyFont="1" applyFill="1" applyBorder="1" applyAlignment="1">
      <alignment horizontal="center"/>
    </xf>
    <xf numFmtId="166" fontId="40" fillId="0" borderId="0" xfId="0" applyNumberFormat="1" applyFont="1" applyFill="1" applyBorder="1" applyAlignment="1">
      <alignment horizontal="center"/>
    </xf>
    <xf numFmtId="0" fontId="40" fillId="0" borderId="0" xfId="0" applyFont="1" applyFill="1" applyBorder="1"/>
    <xf numFmtId="0" fontId="61" fillId="0" borderId="0" xfId="0" applyFont="1" applyFill="1" applyBorder="1" applyAlignment="1">
      <alignment horizontal="center"/>
    </xf>
    <xf numFmtId="10" fontId="6" fillId="0" borderId="0" xfId="0" applyNumberFormat="1" applyFont="1" applyFill="1" applyBorder="1" applyAlignment="1">
      <alignment horizontal="center"/>
    </xf>
    <xf numFmtId="0" fontId="39" fillId="0" borderId="0" xfId="0" applyFont="1" applyFill="1" applyBorder="1"/>
    <xf numFmtId="0" fontId="62" fillId="0" borderId="0" xfId="0" applyFont="1" applyFill="1" applyBorder="1" applyAlignment="1">
      <alignment horizontal="center"/>
    </xf>
    <xf numFmtId="165" fontId="6" fillId="0" borderId="0" xfId="0" applyNumberFormat="1" applyFont="1" applyFill="1" applyBorder="1" applyAlignment="1">
      <alignment horizontal="center"/>
    </xf>
    <xf numFmtId="9" fontId="6" fillId="0" borderId="0" xfId="64" applyFont="1" applyFill="1" applyBorder="1" applyAlignment="1">
      <alignment horizontal="center"/>
    </xf>
    <xf numFmtId="165" fontId="40" fillId="0" borderId="0" xfId="0" applyNumberFormat="1" applyFont="1" applyFill="1" applyBorder="1"/>
    <xf numFmtId="166" fontId="8" fillId="0" borderId="0" xfId="0" applyNumberFormat="1" applyFont="1" applyFill="1" applyBorder="1" applyAlignment="1">
      <alignment horizontal="center"/>
    </xf>
    <xf numFmtId="166" fontId="39" fillId="0" borderId="0" xfId="0" applyNumberFormat="1" applyFont="1" applyFill="1" applyBorder="1"/>
    <xf numFmtId="166" fontId="62" fillId="0" borderId="0" xfId="0" applyNumberFormat="1" applyFont="1" applyFill="1" applyBorder="1" applyAlignment="1">
      <alignment horizontal="center"/>
    </xf>
    <xf numFmtId="165" fontId="8" fillId="0" borderId="0" xfId="0" applyNumberFormat="1" applyFont="1" applyFill="1" applyBorder="1" applyAlignment="1">
      <alignment horizontal="center"/>
    </xf>
    <xf numFmtId="10" fontId="6" fillId="0" borderId="0" xfId="64" applyNumberFormat="1" applyFont="1" applyFill="1" applyBorder="1" applyAlignment="1">
      <alignment horizontal="center"/>
    </xf>
    <xf numFmtId="0" fontId="39" fillId="0" borderId="0" xfId="72" applyFont="1" applyFill="1" applyBorder="1" applyAlignment="1"/>
    <xf numFmtId="166" fontId="40" fillId="0" borderId="0" xfId="0" applyNumberFormat="1" applyFont="1" applyFill="1" applyBorder="1"/>
    <xf numFmtId="166" fontId="61" fillId="0" borderId="0" xfId="0" applyNumberFormat="1" applyFont="1" applyFill="1" applyBorder="1" applyAlignment="1">
      <alignment horizontal="center"/>
    </xf>
    <xf numFmtId="170" fontId="6" fillId="0" borderId="0" xfId="0" applyNumberFormat="1" applyFont="1" applyFill="1" applyBorder="1" applyAlignment="1">
      <alignment horizontal="center"/>
    </xf>
    <xf numFmtId="0" fontId="40" fillId="0" borderId="0" xfId="72" applyFont="1" applyFill="1" applyBorder="1" applyAlignment="1"/>
    <xf numFmtId="164" fontId="6" fillId="0" borderId="0" xfId="64" applyNumberFormat="1" applyFont="1" applyFill="1" applyBorder="1" applyAlignment="1">
      <alignment horizontal="center"/>
    </xf>
    <xf numFmtId="10" fontId="40" fillId="0" borderId="0" xfId="0" applyNumberFormat="1" applyFont="1" applyFill="1"/>
    <xf numFmtId="164" fontId="6" fillId="0" borderId="0" xfId="0" applyNumberFormat="1" applyFont="1" applyFill="1" applyBorder="1" applyAlignment="1">
      <alignment horizontal="center"/>
    </xf>
    <xf numFmtId="10" fontId="40" fillId="0" borderId="0" xfId="0" applyNumberFormat="1" applyFont="1" applyFill="1" applyBorder="1"/>
    <xf numFmtId="10" fontId="61" fillId="0" borderId="0" xfId="0" applyNumberFormat="1" applyFont="1" applyFill="1" applyBorder="1" applyAlignment="1">
      <alignment horizontal="center"/>
    </xf>
    <xf numFmtId="165" fontId="6" fillId="0" borderId="0" xfId="38" applyNumberFormat="1" applyFont="1" applyFill="1" applyBorder="1" applyAlignment="1">
      <alignment horizontal="center"/>
    </xf>
    <xf numFmtId="1" fontId="40" fillId="0" borderId="0" xfId="0" applyNumberFormat="1" applyFont="1" applyFill="1"/>
    <xf numFmtId="1" fontId="40" fillId="0" borderId="0" xfId="0" applyNumberFormat="1" applyFont="1" applyFill="1" applyBorder="1"/>
    <xf numFmtId="1" fontId="61" fillId="0" borderId="0" xfId="0" applyNumberFormat="1" applyFont="1" applyFill="1" applyBorder="1" applyAlignment="1">
      <alignment horizontal="center"/>
    </xf>
    <xf numFmtId="170" fontId="6" fillId="0" borderId="0" xfId="39" applyNumberFormat="1" applyFont="1" applyFill="1" applyBorder="1" applyAlignment="1">
      <alignment horizontal="center"/>
    </xf>
    <xf numFmtId="174" fontId="6" fillId="0" borderId="0" xfId="0" applyNumberFormat="1" applyFont="1" applyFill="1" applyBorder="1" applyAlignment="1">
      <alignment horizontal="center"/>
    </xf>
    <xf numFmtId="8" fontId="6" fillId="0" borderId="0" xfId="72" applyNumberFormat="1" applyFont="1" applyFill="1" applyBorder="1" applyAlignment="1"/>
    <xf numFmtId="164" fontId="61" fillId="0" borderId="0" xfId="72" applyNumberFormat="1" applyFont="1" applyFill="1" applyBorder="1" applyAlignment="1">
      <alignment horizontal="center"/>
    </xf>
    <xf numFmtId="164" fontId="61" fillId="0" borderId="0" xfId="0" applyNumberFormat="1" applyFont="1" applyFill="1" applyBorder="1" applyAlignment="1">
      <alignment horizontal="center"/>
    </xf>
    <xf numFmtId="43" fontId="6" fillId="0" borderId="0" xfId="38" applyFont="1" applyFill="1" applyBorder="1" applyAlignment="1">
      <alignment horizontal="center"/>
    </xf>
    <xf numFmtId="175" fontId="6" fillId="0" borderId="0" xfId="0" applyNumberFormat="1" applyFont="1" applyFill="1" applyBorder="1" applyAlignment="1">
      <alignment horizontal="center"/>
    </xf>
    <xf numFmtId="175" fontId="61" fillId="0" borderId="0" xfId="0" applyNumberFormat="1" applyFont="1" applyFill="1" applyBorder="1" applyAlignment="1">
      <alignment horizontal="center"/>
    </xf>
    <xf numFmtId="0" fontId="43" fillId="0" borderId="0" xfId="0" applyFont="1" applyFill="1" applyBorder="1"/>
    <xf numFmtId="164" fontId="8" fillId="0" borderId="0" xfId="64" applyNumberFormat="1" applyFont="1" applyFill="1" applyBorder="1"/>
    <xf numFmtId="164" fontId="6" fillId="0" borderId="0" xfId="0" applyNumberFormat="1" applyFont="1" applyFill="1" applyBorder="1"/>
    <xf numFmtId="0" fontId="8" fillId="0" borderId="0" xfId="0" quotePrefix="1" applyFont="1" applyFill="1" applyBorder="1" applyAlignment="1">
      <alignment horizontal="center"/>
    </xf>
    <xf numFmtId="0" fontId="62" fillId="0" borderId="0" xfId="0" applyFont="1" applyFill="1" applyBorder="1" applyAlignment="1">
      <alignment horizontal="right"/>
    </xf>
    <xf numFmtId="17" fontId="39" fillId="0" borderId="0" xfId="0" applyNumberFormat="1" applyFont="1" applyFill="1" applyBorder="1" applyAlignment="1">
      <alignment horizontal="center"/>
    </xf>
    <xf numFmtId="1" fontId="62" fillId="0" borderId="0" xfId="0" applyNumberFormat="1" applyFont="1" applyFill="1" applyBorder="1"/>
    <xf numFmtId="164" fontId="62" fillId="0" borderId="0" xfId="0" applyNumberFormat="1" applyFont="1" applyFill="1" applyBorder="1" applyAlignment="1">
      <alignment horizontal="center"/>
    </xf>
    <xf numFmtId="164" fontId="40" fillId="0" borderId="0" xfId="64" applyNumberFormat="1" applyFont="1" applyFill="1" applyBorder="1" applyAlignment="1">
      <alignment horizontal="center"/>
    </xf>
    <xf numFmtId="164" fontId="62" fillId="0" borderId="0" xfId="0" applyNumberFormat="1" applyFont="1" applyFill="1" applyBorder="1"/>
    <xf numFmtId="0" fontId="62" fillId="0" borderId="0" xfId="0" applyFont="1" applyFill="1" applyBorder="1"/>
    <xf numFmtId="9" fontId="6" fillId="0" borderId="0" xfId="0" applyNumberFormat="1" applyFont="1" applyFill="1" applyBorder="1" applyAlignment="1">
      <alignment horizontal="center"/>
    </xf>
    <xf numFmtId="165" fontId="6" fillId="0" borderId="0" xfId="0" applyNumberFormat="1" applyFont="1" applyFill="1" applyBorder="1"/>
    <xf numFmtId="167" fontId="6" fillId="0" borderId="0" xfId="0" applyNumberFormat="1" applyFont="1" applyFill="1" applyBorder="1" applyAlignment="1">
      <alignment horizontal="center"/>
    </xf>
    <xf numFmtId="167" fontId="40" fillId="0" borderId="0" xfId="0" applyNumberFormat="1" applyFont="1" applyFill="1" applyBorder="1" applyAlignment="1">
      <alignment horizontal="center"/>
    </xf>
    <xf numFmtId="164" fontId="61" fillId="0" borderId="0" xfId="0" applyNumberFormat="1" applyFont="1" applyFill="1" applyBorder="1"/>
    <xf numFmtId="3" fontId="6" fillId="0" borderId="0" xfId="0" applyNumberFormat="1" applyFont="1" applyFill="1" applyBorder="1" applyAlignment="1">
      <alignment horizontal="center"/>
    </xf>
    <xf numFmtId="3" fontId="6" fillId="0" borderId="0" xfId="64" applyNumberFormat="1" applyFont="1" applyFill="1" applyBorder="1" applyAlignment="1">
      <alignment horizontal="center"/>
    </xf>
    <xf numFmtId="3" fontId="61" fillId="0" borderId="0" xfId="0" applyNumberFormat="1" applyFont="1" applyFill="1" applyBorder="1" applyAlignment="1">
      <alignment horizontal="center"/>
    </xf>
    <xf numFmtId="3" fontId="6" fillId="0" borderId="0" xfId="0" applyNumberFormat="1" applyFont="1" applyFill="1" applyBorder="1"/>
    <xf numFmtId="3" fontId="40" fillId="0" borderId="0" xfId="64" applyNumberFormat="1" applyFont="1" applyFill="1" applyBorder="1" applyAlignment="1">
      <alignment horizontal="center"/>
    </xf>
    <xf numFmtId="3" fontId="40" fillId="0" borderId="0" xfId="0" applyNumberFormat="1" applyFont="1" applyFill="1" applyBorder="1"/>
    <xf numFmtId="165" fontId="62" fillId="0" borderId="0" xfId="0" applyNumberFormat="1" applyFont="1" applyFill="1" applyBorder="1"/>
    <xf numFmtId="167" fontId="62" fillId="0" borderId="0" xfId="0" applyNumberFormat="1" applyFont="1" applyFill="1" applyBorder="1" applyAlignment="1">
      <alignment horizontal="center"/>
    </xf>
    <xf numFmtId="164" fontId="62" fillId="0" borderId="0" xfId="64" applyNumberFormat="1" applyFont="1" applyFill="1" applyBorder="1"/>
    <xf numFmtId="179" fontId="6" fillId="0" borderId="0" xfId="0" applyNumberFormat="1" applyFont="1" applyFill="1" applyBorder="1"/>
    <xf numFmtId="9" fontId="61" fillId="0" borderId="0" xfId="0" applyNumberFormat="1" applyFont="1" applyFill="1" applyBorder="1"/>
    <xf numFmtId="166" fontId="62" fillId="0" borderId="0" xfId="0" applyNumberFormat="1" applyFont="1" applyFill="1" applyBorder="1"/>
    <xf numFmtId="0" fontId="60" fillId="0" borderId="0" xfId="0" applyFont="1" applyFill="1" applyBorder="1"/>
    <xf numFmtId="0" fontId="37" fillId="0" borderId="0" xfId="0" applyFont="1" applyFill="1" applyBorder="1"/>
    <xf numFmtId="1" fontId="61" fillId="0" borderId="0" xfId="0" applyNumberFormat="1" applyFont="1" applyFill="1" applyBorder="1"/>
    <xf numFmtId="166" fontId="8" fillId="0" borderId="0" xfId="0" applyNumberFormat="1" applyFont="1" applyFill="1" applyBorder="1"/>
    <xf numFmtId="166" fontId="39" fillId="0" borderId="0" xfId="0" applyNumberFormat="1" applyFont="1" applyFill="1" applyBorder="1" applyAlignment="1">
      <alignment horizontal="center"/>
    </xf>
    <xf numFmtId="9" fontId="62" fillId="0" borderId="0" xfId="0" applyNumberFormat="1" applyFont="1" applyFill="1" applyBorder="1" applyAlignment="1">
      <alignment horizontal="center"/>
    </xf>
    <xf numFmtId="8" fontId="39" fillId="0" borderId="0" xfId="0" applyNumberFormat="1" applyFont="1" applyFill="1" applyBorder="1"/>
    <xf numFmtId="0" fontId="66" fillId="0" borderId="0" xfId="0" applyFont="1" applyFill="1" applyBorder="1" applyAlignment="1">
      <alignment horizontal="center"/>
    </xf>
    <xf numFmtId="172" fontId="60" fillId="0" borderId="0" xfId="0" applyNumberFormat="1" applyFont="1" applyFill="1" applyBorder="1"/>
    <xf numFmtId="43" fontId="6" fillId="0" borderId="0" xfId="0" applyNumberFormat="1" applyFont="1" applyFill="1" applyBorder="1"/>
    <xf numFmtId="0" fontId="78" fillId="0" borderId="0" xfId="0" applyFont="1" applyFill="1" applyBorder="1"/>
    <xf numFmtId="2" fontId="8" fillId="0" borderId="0" xfId="0" applyNumberFormat="1" applyFont="1" applyFill="1" applyBorder="1"/>
    <xf numFmtId="0" fontId="22" fillId="0" borderId="0" xfId="0" applyFont="1" applyFill="1" applyBorder="1" applyAlignment="1">
      <alignment horizontal="center"/>
    </xf>
    <xf numFmtId="176" fontId="61" fillId="0" borderId="0" xfId="0" applyNumberFormat="1" applyFont="1" applyFill="1" applyBorder="1" applyAlignment="1">
      <alignment horizontal="center"/>
    </xf>
    <xf numFmtId="164" fontId="76" fillId="0" borderId="0" xfId="64" applyNumberFormat="1" applyFont="1" applyFill="1" applyBorder="1"/>
    <xf numFmtId="4" fontId="8" fillId="0" borderId="0" xfId="0" applyNumberFormat="1" applyFont="1" applyFill="1" applyBorder="1" applyAlignment="1">
      <alignment horizontal="center"/>
    </xf>
    <xf numFmtId="43" fontId="8" fillId="0" borderId="0" xfId="0" applyNumberFormat="1" applyFont="1" applyFill="1" applyBorder="1"/>
    <xf numFmtId="8" fontId="62" fillId="0" borderId="0" xfId="0" applyNumberFormat="1" applyFont="1" applyFill="1" applyBorder="1"/>
    <xf numFmtId="8" fontId="8" fillId="0" borderId="0" xfId="0" applyNumberFormat="1" applyFont="1" applyFill="1" applyBorder="1" applyAlignment="1">
      <alignment horizontal="center"/>
    </xf>
    <xf numFmtId="43" fontId="6" fillId="0" borderId="0" xfId="38" applyNumberFormat="1" applyFont="1" applyFill="1" applyBorder="1" applyAlignment="1">
      <alignment horizontal="center"/>
    </xf>
    <xf numFmtId="8" fontId="6" fillId="0" borderId="0" xfId="0" applyNumberFormat="1" applyFont="1" applyFill="1" applyBorder="1"/>
    <xf numFmtId="171" fontId="6" fillId="0" borderId="0" xfId="38" applyNumberFormat="1" applyFont="1" applyFill="1" applyBorder="1" applyAlignment="1">
      <alignment horizontal="center"/>
    </xf>
    <xf numFmtId="172" fontId="6" fillId="0" borderId="0" xfId="38" applyNumberFormat="1" applyFont="1" applyFill="1" applyBorder="1" applyAlignment="1">
      <alignment horizontal="center"/>
    </xf>
    <xf numFmtId="8" fontId="6" fillId="0" borderId="0" xfId="64" applyNumberFormat="1" applyFont="1" applyFill="1" applyBorder="1"/>
    <xf numFmtId="4" fontId="6" fillId="0" borderId="0" xfId="0" applyNumberFormat="1" applyFont="1" applyFill="1" applyBorder="1" applyAlignment="1">
      <alignment horizontal="center"/>
    </xf>
    <xf numFmtId="4" fontId="41" fillId="0" borderId="0" xfId="0" applyNumberFormat="1" applyFont="1" applyFill="1" applyBorder="1" applyAlignment="1">
      <alignment horizontal="center"/>
    </xf>
    <xf numFmtId="8" fontId="6" fillId="0" borderId="0" xfId="0" applyNumberFormat="1" applyFont="1" applyFill="1" applyBorder="1" applyAlignment="1">
      <alignment horizontal="center"/>
    </xf>
    <xf numFmtId="44" fontId="6" fillId="0" borderId="0" xfId="39" applyFont="1" applyFill="1" applyBorder="1"/>
    <xf numFmtId="43" fontId="1" fillId="0" borderId="0" xfId="0" applyNumberFormat="1" applyFont="1" applyFill="1" applyBorder="1"/>
    <xf numFmtId="3" fontId="39" fillId="0" borderId="0" xfId="0" applyNumberFormat="1" applyFont="1" applyFill="1" applyBorder="1"/>
    <xf numFmtId="2" fontId="6" fillId="0" borderId="0" xfId="0" applyNumberFormat="1" applyFont="1" applyFill="1" applyBorder="1"/>
    <xf numFmtId="2" fontId="6" fillId="0" borderId="0" xfId="0" applyNumberFormat="1" applyFont="1" applyFill="1" applyBorder="1" applyAlignment="1">
      <alignment horizontal="center"/>
    </xf>
    <xf numFmtId="166" fontId="42" fillId="0" borderId="0" xfId="0" applyNumberFormat="1" applyFont="1" applyFill="1" applyBorder="1" applyAlignment="1">
      <alignment horizontal="center"/>
    </xf>
    <xf numFmtId="171" fontId="40" fillId="0" borderId="0" xfId="0" applyNumberFormat="1" applyFont="1" applyFill="1" applyBorder="1"/>
    <xf numFmtId="43" fontId="61" fillId="0" borderId="0" xfId="0" applyNumberFormat="1" applyFont="1" applyFill="1" applyBorder="1" applyAlignment="1">
      <alignment horizontal="center"/>
    </xf>
    <xf numFmtId="43" fontId="40" fillId="0" borderId="0" xfId="38" applyNumberFormat="1" applyFont="1" applyFill="1" applyBorder="1"/>
    <xf numFmtId="166" fontId="60" fillId="0" borderId="0" xfId="0" applyNumberFormat="1" applyFont="1" applyFill="1" applyBorder="1" applyAlignment="1">
      <alignment horizontal="center"/>
    </xf>
    <xf numFmtId="166" fontId="37" fillId="0" borderId="0" xfId="0" applyNumberFormat="1" applyFont="1" applyFill="1" applyBorder="1" applyAlignment="1">
      <alignment horizontal="center"/>
    </xf>
    <xf numFmtId="9" fontId="60" fillId="0" borderId="0" xfId="64" applyFont="1" applyFill="1" applyBorder="1" applyAlignment="1">
      <alignment horizontal="center"/>
    </xf>
    <xf numFmtId="0" fontId="40" fillId="0" borderId="0" xfId="0" applyFont="1" applyFill="1" applyBorder="1" applyAlignment="1">
      <alignment horizontal="center"/>
    </xf>
    <xf numFmtId="9" fontId="39" fillId="0" borderId="0" xfId="64" applyFont="1" applyFill="1" applyBorder="1"/>
    <xf numFmtId="9" fontId="40" fillId="0" borderId="0" xfId="0" applyNumberFormat="1" applyFont="1" applyFill="1" applyBorder="1" applyAlignment="1">
      <alignment horizontal="center"/>
    </xf>
    <xf numFmtId="165" fontId="40" fillId="0" borderId="0" xfId="0" applyNumberFormat="1" applyFont="1" applyFill="1" applyBorder="1" applyAlignment="1">
      <alignment horizontal="center"/>
    </xf>
    <xf numFmtId="165" fontId="42" fillId="0" borderId="0" xfId="0" applyNumberFormat="1" applyFont="1" applyFill="1" applyBorder="1" applyAlignment="1">
      <alignment horizontal="center"/>
    </xf>
    <xf numFmtId="165" fontId="62" fillId="0" borderId="0" xfId="0" applyNumberFormat="1" applyFont="1" applyFill="1" applyBorder="1" applyAlignment="1">
      <alignment horizontal="center"/>
    </xf>
    <xf numFmtId="8" fontId="40" fillId="0" borderId="0" xfId="0" applyNumberFormat="1" applyFont="1" applyFill="1" applyBorder="1"/>
    <xf numFmtId="0" fontId="63" fillId="0" borderId="0" xfId="72" applyFont="1" applyFill="1" applyBorder="1" applyAlignment="1"/>
    <xf numFmtId="169" fontId="40" fillId="0" borderId="0" xfId="72" applyNumberFormat="1" applyFont="1" applyFill="1" applyBorder="1" applyAlignment="1">
      <alignment horizontal="center"/>
    </xf>
    <xf numFmtId="165" fontId="39" fillId="0" borderId="0" xfId="0" applyNumberFormat="1" applyFont="1" applyFill="1" applyBorder="1" applyAlignment="1">
      <alignment horizontal="center"/>
    </xf>
    <xf numFmtId="0" fontId="65" fillId="0" borderId="0" xfId="0" applyFont="1" applyFill="1" applyBorder="1" applyAlignment="1">
      <alignment horizontal="center"/>
    </xf>
    <xf numFmtId="165" fontId="40" fillId="0" borderId="0" xfId="72" applyNumberFormat="1" applyFont="1" applyFill="1" applyBorder="1" applyAlignment="1">
      <alignment horizontal="center"/>
    </xf>
    <xf numFmtId="8" fontId="61" fillId="0" borderId="0" xfId="72" applyNumberFormat="1" applyFont="1" applyFill="1" applyBorder="1" applyAlignment="1">
      <alignment horizontal="center"/>
    </xf>
    <xf numFmtId="166" fontId="40" fillId="0" borderId="0" xfId="72" applyNumberFormat="1" applyFont="1" applyFill="1" applyBorder="1" applyAlignment="1"/>
    <xf numFmtId="166" fontId="40" fillId="0" borderId="0" xfId="72" applyNumberFormat="1" applyFont="1" applyFill="1" applyBorder="1" applyAlignment="1">
      <alignment horizontal="center"/>
    </xf>
    <xf numFmtId="9" fontId="40" fillId="0" borderId="0" xfId="64" applyFont="1" applyFill="1" applyBorder="1" applyAlignment="1">
      <alignment horizontal="center"/>
    </xf>
    <xf numFmtId="170" fontId="40" fillId="0" borderId="0" xfId="0" applyNumberFormat="1" applyFont="1" applyFill="1" applyBorder="1" applyAlignment="1">
      <alignment horizontal="center"/>
    </xf>
    <xf numFmtId="8" fontId="40" fillId="0" borderId="0" xfId="72" applyNumberFormat="1" applyFont="1" applyFill="1" applyBorder="1" applyAlignment="1">
      <alignment horizontal="center"/>
    </xf>
    <xf numFmtId="172" fontId="40" fillId="0" borderId="0" xfId="38" applyNumberFormat="1" applyFont="1" applyFill="1" applyBorder="1"/>
    <xf numFmtId="0" fontId="8" fillId="0" borderId="0" xfId="72" applyFont="1" applyFill="1" applyBorder="1" applyAlignment="1">
      <alignment horizontal="right"/>
    </xf>
    <xf numFmtId="0" fontId="6" fillId="0" borderId="0" xfId="72" applyFont="1" applyFill="1" applyBorder="1" applyAlignment="1"/>
    <xf numFmtId="0" fontId="1" fillId="0" borderId="0" xfId="0" quotePrefix="1" applyFont="1" applyFill="1" applyBorder="1" applyAlignment="1">
      <alignment horizontal="center"/>
    </xf>
    <xf numFmtId="16" fontId="1" fillId="0" borderId="0" xfId="0" applyNumberFormat="1" applyFont="1" applyFill="1" applyBorder="1" applyAlignment="1">
      <alignment horizontal="center"/>
    </xf>
    <xf numFmtId="43" fontId="40" fillId="0" borderId="0" xfId="38" applyFont="1" applyFill="1" applyBorder="1"/>
    <xf numFmtId="43" fontId="1" fillId="0" borderId="0" xfId="38" applyFont="1" applyFill="1" applyBorder="1"/>
    <xf numFmtId="164" fontId="63" fillId="0" borderId="0" xfId="64" applyNumberFormat="1" applyFont="1" applyFill="1" applyBorder="1"/>
    <xf numFmtId="43" fontId="6" fillId="0" borderId="0" xfId="38" applyNumberFormat="1" applyFont="1" applyFill="1" applyBorder="1"/>
    <xf numFmtId="0" fontId="40" fillId="0" borderId="0" xfId="0" applyFont="1" applyFill="1" applyBorder="1" applyAlignment="1">
      <alignment horizontal="left"/>
    </xf>
    <xf numFmtId="0" fontId="1" fillId="0" borderId="0" xfId="0" applyFont="1" applyFill="1" applyBorder="1" applyAlignment="1">
      <alignment horizontal="left"/>
    </xf>
    <xf numFmtId="8" fontId="1" fillId="0" borderId="0" xfId="0" applyNumberFormat="1" applyFont="1" applyFill="1" applyBorder="1" applyAlignment="1">
      <alignment horizontal="center"/>
    </xf>
    <xf numFmtId="2" fontId="40" fillId="0" borderId="0" xfId="39" applyNumberFormat="1" applyFont="1" applyFill="1" applyBorder="1" applyAlignment="1">
      <alignment horizontal="center"/>
    </xf>
    <xf numFmtId="164" fontId="40" fillId="0" borderId="0" xfId="0" applyNumberFormat="1" applyFont="1" applyFill="1" applyBorder="1"/>
    <xf numFmtId="9" fontId="40" fillId="0" borderId="0" xfId="64" applyNumberFormat="1" applyFont="1" applyFill="1" applyBorder="1" applyAlignment="1">
      <alignment horizontal="right"/>
    </xf>
    <xf numFmtId="164" fontId="1" fillId="0" borderId="0" xfId="64" applyNumberFormat="1" applyFont="1" applyFill="1" applyBorder="1" applyAlignment="1">
      <alignment horizontal="center"/>
    </xf>
    <xf numFmtId="10" fontId="6" fillId="0" borderId="0" xfId="64" applyNumberFormat="1" applyFont="1" applyFill="1" applyBorder="1"/>
    <xf numFmtId="172" fontId="6" fillId="0" borderId="0" xfId="0" applyNumberFormat="1" applyFont="1" applyFill="1" applyBorder="1"/>
    <xf numFmtId="190" fontId="6" fillId="0" borderId="0" xfId="0" applyNumberFormat="1" applyFont="1" applyFill="1" applyBorder="1"/>
    <xf numFmtId="182" fontId="6" fillId="0" borderId="0" xfId="0" applyNumberFormat="1" applyFont="1" applyFill="1" applyBorder="1"/>
    <xf numFmtId="0" fontId="1" fillId="0" borderId="0" xfId="0" applyFont="1" applyFill="1" applyBorder="1" applyAlignment="1">
      <alignment horizontal="right"/>
    </xf>
    <xf numFmtId="10" fontId="6" fillId="0" borderId="0" xfId="0" applyNumberFormat="1" applyFont="1" applyFill="1" applyBorder="1"/>
    <xf numFmtId="9" fontId="6" fillId="0" borderId="0" xfId="0" applyNumberFormat="1" applyFont="1" applyFill="1" applyBorder="1"/>
    <xf numFmtId="175" fontId="6" fillId="0" borderId="0" xfId="0" applyNumberFormat="1" applyFont="1" applyFill="1" applyBorder="1"/>
    <xf numFmtId="173" fontId="6" fillId="0" borderId="0" xfId="38" applyNumberFormat="1" applyFont="1" applyFill="1" applyAlignment="1">
      <alignment horizontal="center"/>
    </xf>
    <xf numFmtId="165" fontId="40" fillId="0" borderId="0" xfId="38" applyNumberFormat="1" applyFont="1" applyFill="1" applyAlignment="1">
      <alignment horizontal="center"/>
    </xf>
    <xf numFmtId="8" fontId="76" fillId="0" borderId="0" xfId="0" applyNumberFormat="1" applyFont="1" applyFill="1" applyAlignment="1">
      <alignment horizontal="center"/>
    </xf>
    <xf numFmtId="4" fontId="76" fillId="0" borderId="0" xfId="0" applyNumberFormat="1" applyFont="1" applyFill="1" applyAlignment="1">
      <alignment horizontal="center"/>
    </xf>
    <xf numFmtId="164" fontId="6" fillId="0" borderId="0" xfId="38" applyNumberFormat="1" applyFont="1" applyFill="1" applyAlignment="1">
      <alignment horizontal="right"/>
    </xf>
    <xf numFmtId="164" fontId="80" fillId="0" borderId="0" xfId="38" applyNumberFormat="1" applyFont="1" applyFill="1" applyAlignment="1">
      <alignment horizontal="right"/>
    </xf>
    <xf numFmtId="171" fontId="80" fillId="0" borderId="0" xfId="38" applyNumberFormat="1" applyFont="1" applyFill="1"/>
    <xf numFmtId="9" fontId="80" fillId="0" borderId="0" xfId="64" applyFont="1" applyFill="1" applyAlignment="1">
      <alignment horizontal="right"/>
    </xf>
    <xf numFmtId="171" fontId="80" fillId="0" borderId="0" xfId="38" applyNumberFormat="1" applyFont="1" applyFill="1" applyAlignment="1">
      <alignment horizontal="right"/>
    </xf>
    <xf numFmtId="43" fontId="80" fillId="0" borderId="0" xfId="38" applyNumberFormat="1" applyFont="1" applyFill="1" applyAlignment="1">
      <alignment horizontal="right"/>
    </xf>
    <xf numFmtId="10" fontId="6" fillId="0" borderId="0" xfId="64" applyNumberFormat="1" applyFont="1" applyFill="1" applyAlignment="1">
      <alignment horizontal="right"/>
    </xf>
    <xf numFmtId="43" fontId="1" fillId="0" borderId="0" xfId="38" applyFont="1" applyFill="1" applyAlignment="1">
      <alignment horizontal="right"/>
    </xf>
    <xf numFmtId="43" fontId="6" fillId="0" borderId="0" xfId="38" applyFont="1" applyFill="1" applyAlignment="1">
      <alignment horizontal="right"/>
    </xf>
    <xf numFmtId="171" fontId="62" fillId="0" borderId="0" xfId="38" applyNumberFormat="1" applyFont="1" applyFill="1"/>
    <xf numFmtId="171" fontId="62" fillId="0" borderId="0" xfId="38" applyNumberFormat="1" applyFont="1" applyFill="1" applyBorder="1"/>
    <xf numFmtId="171" fontId="62" fillId="0" borderId="0" xfId="38" applyNumberFormat="1" applyFont="1" applyFill="1" applyAlignment="1">
      <alignment horizontal="center"/>
    </xf>
    <xf numFmtId="164" fontId="80" fillId="0" borderId="0" xfId="0" applyNumberFormat="1" applyFont="1" applyFill="1"/>
    <xf numFmtId="171" fontId="81" fillId="0" borderId="0" xfId="38" applyNumberFormat="1" applyFont="1" applyFill="1" applyAlignment="1">
      <alignment horizontal="center"/>
    </xf>
    <xf numFmtId="164" fontId="81" fillId="0" borderId="0" xfId="64" applyNumberFormat="1" applyFont="1" applyFill="1" applyAlignment="1">
      <alignment horizontal="center"/>
    </xf>
    <xf numFmtId="172" fontId="6" fillId="0" borderId="0" xfId="38" applyNumberFormat="1" applyFont="1" applyFill="1" applyAlignment="1">
      <alignment horizontal="right"/>
    </xf>
    <xf numFmtId="10" fontId="78" fillId="0" borderId="0" xfId="64" applyNumberFormat="1" applyFont="1" applyFill="1" applyAlignment="1">
      <alignment horizontal="right"/>
    </xf>
    <xf numFmtId="43" fontId="6" fillId="0" borderId="0" xfId="38" applyNumberFormat="1" applyFont="1" applyFill="1" applyAlignment="1">
      <alignment horizontal="right"/>
    </xf>
    <xf numFmtId="165" fontId="6" fillId="0" borderId="0" xfId="38" applyNumberFormat="1" applyFont="1" applyFill="1" applyAlignment="1">
      <alignment horizontal="right"/>
    </xf>
    <xf numFmtId="165" fontId="6" fillId="0" borderId="0" xfId="64" applyNumberFormat="1" applyFont="1" applyFill="1" applyAlignment="1">
      <alignment horizontal="right"/>
    </xf>
    <xf numFmtId="0" fontId="1" fillId="23" borderId="0" xfId="79" applyFont="1" applyFill="1" applyAlignment="1">
      <alignment vertical="top"/>
    </xf>
    <xf numFmtId="0" fontId="1" fillId="23" borderId="0" xfId="77" applyFill="1" applyAlignment="1">
      <alignment vertical="top"/>
    </xf>
    <xf numFmtId="0" fontId="1" fillId="23" borderId="0" xfId="77" applyFill="1"/>
    <xf numFmtId="0" fontId="12" fillId="23" borderId="0" xfId="79" applyFont="1" applyFill="1" applyAlignment="1">
      <alignment horizontal="left" vertical="top"/>
    </xf>
    <xf numFmtId="0" fontId="1" fillId="23" borderId="0" xfId="77" applyFont="1" applyFill="1" applyAlignment="1">
      <alignment vertical="top"/>
    </xf>
    <xf numFmtId="0" fontId="60" fillId="23" borderId="0" xfId="79" applyFont="1" applyFill="1" applyAlignment="1">
      <alignment vertical="top"/>
    </xf>
    <xf numFmtId="0" fontId="0" fillId="23" borderId="0" xfId="0" applyFill="1" applyAlignment="1">
      <alignment vertical="top"/>
    </xf>
    <xf numFmtId="0" fontId="86" fillId="23" borderId="0" xfId="0" applyFont="1" applyFill="1" applyAlignment="1">
      <alignment vertical="top"/>
    </xf>
    <xf numFmtId="0" fontId="87" fillId="23" borderId="0" xfId="0" applyFont="1" applyFill="1" applyAlignment="1">
      <alignment vertical="top"/>
    </xf>
    <xf numFmtId="0" fontId="86" fillId="23" borderId="18" xfId="0" applyFont="1" applyFill="1" applyBorder="1" applyAlignment="1">
      <alignment vertical="top"/>
    </xf>
    <xf numFmtId="9" fontId="86" fillId="23" borderId="18" xfId="0" applyNumberFormat="1" applyFont="1" applyFill="1" applyBorder="1" applyAlignment="1">
      <alignment vertical="top"/>
    </xf>
    <xf numFmtId="3" fontId="86" fillId="23" borderId="18" xfId="0" applyNumberFormat="1" applyFont="1" applyFill="1" applyBorder="1" applyAlignment="1">
      <alignment vertical="top"/>
    </xf>
    <xf numFmtId="2" fontId="1" fillId="0" borderId="0" xfId="77" applyNumberFormat="1" applyAlignment="1">
      <alignment horizontal="left"/>
    </xf>
    <xf numFmtId="0" fontId="1" fillId="0" borderId="0" xfId="77" applyNumberFormat="1" applyAlignment="1">
      <alignment horizontal="left"/>
    </xf>
    <xf numFmtId="1" fontId="1" fillId="0" borderId="0" xfId="77" applyNumberFormat="1" applyAlignment="1">
      <alignment horizontal="left"/>
    </xf>
    <xf numFmtId="0" fontId="1" fillId="0" borderId="0" xfId="77" applyFont="1"/>
    <xf numFmtId="191" fontId="1" fillId="0" borderId="0" xfId="77" applyNumberFormat="1" applyAlignment="1">
      <alignment horizontal="left"/>
    </xf>
    <xf numFmtId="49" fontId="1" fillId="0" borderId="0" xfId="77" applyNumberFormat="1"/>
    <xf numFmtId="0" fontId="88" fillId="0" borderId="0" xfId="77" applyFont="1" applyAlignment="1">
      <alignment wrapText="1"/>
    </xf>
    <xf numFmtId="0" fontId="88" fillId="0" borderId="0" xfId="77" applyFont="1" applyAlignment="1">
      <alignment horizontal="left" wrapText="1" indent="3"/>
    </xf>
    <xf numFmtId="0" fontId="88" fillId="0" borderId="0" xfId="77" applyFont="1" applyAlignment="1">
      <alignment horizontal="left" wrapText="1" indent="1"/>
    </xf>
    <xf numFmtId="0" fontId="90" fillId="0" borderId="0" xfId="77" applyFont="1" applyAlignment="1">
      <alignment wrapText="1"/>
    </xf>
    <xf numFmtId="0" fontId="0" fillId="23" borderId="23" xfId="0" applyFill="1" applyBorder="1" applyAlignment="1">
      <alignment vertical="top"/>
    </xf>
    <xf numFmtId="0" fontId="86" fillId="23" borderId="0" xfId="0" applyFont="1" applyFill="1" applyAlignment="1">
      <alignment vertical="top"/>
    </xf>
    <xf numFmtId="0" fontId="86" fillId="23" borderId="19" xfId="0" applyFont="1" applyFill="1" applyBorder="1" applyAlignment="1">
      <alignment vertical="top"/>
    </xf>
    <xf numFmtId="0" fontId="86" fillId="23" borderId="20" xfId="0" applyFont="1" applyFill="1" applyBorder="1" applyAlignment="1">
      <alignment vertical="top"/>
    </xf>
    <xf numFmtId="0" fontId="86" fillId="23" borderId="21" xfId="0" applyFont="1" applyFill="1" applyBorder="1" applyAlignment="1">
      <alignment vertical="top"/>
    </xf>
    <xf numFmtId="0" fontId="87" fillId="23" borderId="0" xfId="0" applyFont="1" applyFill="1" applyAlignment="1">
      <alignment vertical="top"/>
    </xf>
    <xf numFmtId="0" fontId="0" fillId="23" borderId="0" xfId="0" applyFill="1" applyAlignment="1">
      <alignment vertical="top"/>
    </xf>
    <xf numFmtId="0" fontId="0" fillId="23" borderId="22" xfId="0" applyFill="1" applyBorder="1" applyAlignment="1">
      <alignment vertical="top"/>
    </xf>
    <xf numFmtId="43" fontId="1" fillId="0" borderId="0" xfId="38" applyFont="1" applyFill="1" applyBorder="1" applyAlignment="1">
      <alignment horizontal="center"/>
    </xf>
    <xf numFmtId="43" fontId="6" fillId="0" borderId="0" xfId="38" applyFont="1" applyFill="1" applyBorder="1" applyAlignment="1">
      <alignment horizontal="center"/>
    </xf>
    <xf numFmtId="0" fontId="39" fillId="0" borderId="0" xfId="0" applyFont="1" applyFill="1" applyBorder="1" applyAlignment="1">
      <alignment horizontal="center"/>
    </xf>
    <xf numFmtId="3" fontId="40" fillId="0" borderId="0" xfId="0" applyNumberFormat="1" applyFont="1" applyFill="1" applyBorder="1" applyAlignment="1">
      <alignment horizontal="center"/>
    </xf>
    <xf numFmtId="0" fontId="60" fillId="0" borderId="0" xfId="0" applyFont="1" applyFill="1" applyBorder="1" applyAlignment="1">
      <alignment horizontal="center"/>
    </xf>
    <xf numFmtId="164" fontId="6" fillId="0" borderId="0" xfId="64" applyNumberFormat="1" applyFont="1" applyAlignment="1">
      <alignment horizontal="center"/>
    </xf>
  </cellXfs>
  <cellStyles count="80">
    <cellStyle name="%" xfId="1"/>
    <cellStyle name="******************************************" xfId="2"/>
    <cellStyle name="_RRS1" xfId="3"/>
    <cellStyle name="_RRS11" xfId="4"/>
    <cellStyle name="_RRS4" xfId="5"/>
    <cellStyle name="_SUMMARY " xfId="6"/>
    <cellStyle name="=C:\WINNT35\SYSTEM32\COMMAND.COM" xfId="7"/>
    <cellStyle name="0_Capex &amp; Depreciation " xfId="8"/>
    <cellStyle name="0_Valuing BP " xfId="9"/>
    <cellStyle name="20% - Accent1" xfId="10" builtinId="30" customBuiltin="1"/>
    <cellStyle name="20% - Accent2" xfId="11" builtinId="34" customBuiltin="1"/>
    <cellStyle name="20% - Accent3" xfId="12" builtinId="38" customBuiltin="1"/>
    <cellStyle name="20% - Accent4" xfId="13" builtinId="42" customBuiltin="1"/>
    <cellStyle name="20% - Accent5" xfId="14" builtinId="46" customBuiltin="1"/>
    <cellStyle name="20% - Accent6" xfId="15" builtinId="50" customBuiltin="1"/>
    <cellStyle name="40% - Accent1" xfId="16" builtinId="31" customBuiltin="1"/>
    <cellStyle name="40% - Accent2" xfId="17" builtinId="35" customBuiltin="1"/>
    <cellStyle name="40% - Accent3" xfId="18" builtinId="39" customBuiltin="1"/>
    <cellStyle name="40% - Accent4" xfId="19" builtinId="43" customBuiltin="1"/>
    <cellStyle name="40% - Accent5" xfId="20" builtinId="47" customBuiltin="1"/>
    <cellStyle name="40% - Accent6" xfId="21" builtinId="51" customBuiltin="1"/>
    <cellStyle name="60% - Accent1" xfId="22" builtinId="32" customBuiltin="1"/>
    <cellStyle name="60% - Accent2" xfId="23" builtinId="36" customBuiltin="1"/>
    <cellStyle name="60% - Accent3" xfId="24" builtinId="40" customBuiltin="1"/>
    <cellStyle name="60% - Accent4" xfId="25" builtinId="44" customBuiltin="1"/>
    <cellStyle name="60% - Accent5" xfId="26" builtinId="48" customBuiltin="1"/>
    <cellStyle name="60% - Accent6" xfId="27" builtinId="52" customBuiltin="1"/>
    <cellStyle name="Accent1" xfId="28" builtinId="29" customBuiltin="1"/>
    <cellStyle name="Accent2" xfId="29" builtinId="33" customBuiltin="1"/>
    <cellStyle name="Accent3" xfId="30" builtinId="37" customBuiltin="1"/>
    <cellStyle name="Accent4" xfId="31" builtinId="41" customBuiltin="1"/>
    <cellStyle name="Accent5" xfId="32" builtinId="45" customBuiltin="1"/>
    <cellStyle name="Accent6" xfId="33" builtinId="49" customBuiltin="1"/>
    <cellStyle name="Bad" xfId="34" builtinId="27" customBuiltin="1"/>
    <cellStyle name="c_HardInc " xfId="35"/>
    <cellStyle name="Calculation" xfId="36" builtinId="22" customBuiltin="1"/>
    <cellStyle name="Check Cell" xfId="37" builtinId="23" customBuiltin="1"/>
    <cellStyle name="Comma" xfId="38" builtinId="3"/>
    <cellStyle name="Comma 2" xfId="78"/>
    <cellStyle name="Currency" xfId="39" builtinId="4"/>
    <cellStyle name="Currency 2" xfId="40"/>
    <cellStyle name="Currency 3" xfId="41"/>
    <cellStyle name="Euro" xfId="42"/>
    <cellStyle name="Explanatory Text" xfId="43" builtinId="53" customBuiltin="1"/>
    <cellStyle name="Formula" xfId="44"/>
    <cellStyle name="Good" xfId="45" builtinId="26" customBuiltin="1"/>
    <cellStyle name="Heading 1" xfId="46" builtinId="16" customBuiltin="1"/>
    <cellStyle name="Heading 2" xfId="47" builtinId="17" customBuiltin="1"/>
    <cellStyle name="Heading 3" xfId="48" builtinId="18" customBuiltin="1"/>
    <cellStyle name="Heading 4" xfId="49" builtinId="19" customBuiltin="1"/>
    <cellStyle name="Hyperlink" xfId="50" builtinId="8"/>
    <cellStyle name="Hyperlink_WeightWatchers_Model" xfId="51"/>
    <cellStyle name="Input" xfId="52" builtinId="20" customBuiltin="1"/>
    <cellStyle name="Linked Cell" xfId="53" builtinId="24" customBuiltin="1"/>
    <cellStyle name="Neutral" xfId="54" builtinId="28" customBuiltin="1"/>
    <cellStyle name="Normal" xfId="0" builtinId="0"/>
    <cellStyle name="Normal 2" xfId="55"/>
    <cellStyle name="Normal 3" xfId="77"/>
    <cellStyle name="Normal_Copy of TEMP" xfId="56"/>
    <cellStyle name="Normal_DisclaimerSheet Samples" xfId="79"/>
    <cellStyle name="Normal_DPS" xfId="57"/>
    <cellStyle name="Normal_ETM LBO Model" xfId="58"/>
    <cellStyle name="Normal_Morgan Stanley_Global Wireless Comps" xfId="59"/>
    <cellStyle name="Normal_Newell_Model_BASE" xfId="60"/>
    <cellStyle name="Note" xfId="61" builtinId="10" customBuiltin="1"/>
    <cellStyle name="Output" xfId="62" builtinId="21" customBuiltin="1"/>
    <cellStyle name="p " xfId="63"/>
    <cellStyle name="Percent" xfId="64" builtinId="5"/>
    <cellStyle name="Percent 2" xfId="65"/>
    <cellStyle name="Percent 3" xfId="66"/>
    <cellStyle name="RRSInstruction" xfId="67"/>
    <cellStyle name="RRSInstruction 2" xfId="68"/>
    <cellStyle name="s_HardInc " xfId="69"/>
    <cellStyle name="s_Valuation " xfId="70"/>
    <cellStyle name="ssp " xfId="71"/>
    <cellStyle name="Style 1" xfId="72"/>
    <cellStyle name="Style 2" xfId="73"/>
    <cellStyle name="Title" xfId="74" builtinId="15" customBuiltin="1"/>
    <cellStyle name="Total" xfId="75" builtinId="25" customBuiltin="1"/>
    <cellStyle name="Warning Text" xfId="76" builtinId="11" customBuiltin="1"/>
  </cellStyles>
  <dxfs count="0"/>
  <tableStyles count="0" defaultTableStyle="TableStyleMedium2" defaultPivotStyle="PivotStyleLight16"/>
  <colors>
    <mruColors>
      <color rgb="FF99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2.xml" Type="http://schemas.openxmlformats.org/officeDocument/2006/relationships/externalLink"/>
<Relationship Id="rId11" Target="externalLinks/externalLink3.xml" Type="http://schemas.openxmlformats.org/officeDocument/2006/relationships/externalLink"/>
<Relationship Id="rId12" Target="externalLinks/externalLink4.xml" Type="http://schemas.openxmlformats.org/officeDocument/2006/relationships/externalLink"/>
<Relationship Id="rId13" Target="externalLinks/externalLink5.xml" Type="http://schemas.openxmlformats.org/officeDocument/2006/relationships/externalLink"/>
<Relationship Id="rId14" Target="externalLinks/externalLink6.xml" Type="http://schemas.openxmlformats.org/officeDocument/2006/relationships/externalLink"/>
<Relationship Id="rId15" Target="externalLinks/externalLink7.xml" Type="http://schemas.openxmlformats.org/officeDocument/2006/relationships/externalLink"/>
<Relationship Id="rId16" Target="externalLinks/externalLink8.xml" Type="http://schemas.openxmlformats.org/officeDocument/2006/relationships/externalLink"/>
<Relationship Id="rId17" Target="externalLinks/externalLink9.xml" Type="http://schemas.openxmlformats.org/officeDocument/2006/relationships/externalLink"/>
<Relationship Id="rId18" Target="externalLinks/externalLink10.xml" Type="http://schemas.openxmlformats.org/officeDocument/2006/relationships/externalLink"/>
<Relationship Id="rId19" Target="externalLinks/externalLink11.xml" Type="http://schemas.openxmlformats.org/officeDocument/2006/relationships/externalLink"/>
<Relationship Id="rId2" Target="worksheets/sheet2.xml" Type="http://schemas.openxmlformats.org/officeDocument/2006/relationships/worksheet"/>
<Relationship Id="rId20" Target="externalLinks/externalLink12.xml" Type="http://schemas.openxmlformats.org/officeDocument/2006/relationships/externalLink"/>
<Relationship Id="rId21" Target="theme/theme1.xml" Type="http://schemas.openxmlformats.org/officeDocument/2006/relationships/theme"/>
<Relationship Id="rId22" Target="styles.xml" Type="http://schemas.openxmlformats.org/officeDocument/2006/relationships/styles"/>
<Relationship Id="rId23" Target="sharedStrings.xml" Type="http://schemas.openxmlformats.org/officeDocument/2006/relationships/sharedStrings"/>
<Relationship Id="rId24" Target="calcChain.xml" Type="http://schemas.openxmlformats.org/officeDocument/2006/relationships/calcChain"/>
<Relationship Id="rId25" Target="../customXml/item1.xml" Type="http://schemas.openxmlformats.org/officeDocument/2006/relationships/customXml"/>
<Relationship Id="rId26" Target="../customXml/item2.xml" Type="http://schemas.openxmlformats.org/officeDocument/2006/relationships/customXml"/>
<Relationship Id="rId27"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externalLinks/externalLink1.xml" Type="http://schemas.openxmlformats.org/officeDocument/2006/relationships/externalLink"/>
</Relationships>

</file>

<file path=xl/charts/_rels/chart1.xml.rels><?xml version="1.0" encoding="UTF-8" standalone="yes"?>
<Relationships xmlns="http://schemas.openxmlformats.org/package/2006/relationships">
<Relationship Id="rId1" Target="../drawings/drawing4.xml" Type="http://schemas.openxmlformats.org/officeDocument/2006/relationships/chartUserShapes"/>
</Relationships>

</file>

<file path=xl/charts/_rels/chart4.xml.rels><?xml version="1.0" encoding="UTF-8" standalone="yes"?>
<Relationships xmlns="http://schemas.openxmlformats.org/package/2006/relationships">
<Relationship Id="rId1" Target="../drawings/drawing5.xml" Type="http://schemas.openxmlformats.org/officeDocument/2006/relationships/chartUserShapes"/>
</Relationships>

</file>

<file path=xl/charts/_rels/chart9.xml.rels><?xml version="1.0" encoding="UTF-8" standalone="yes"?>
<Relationships xmlns="http://schemas.openxmlformats.org/package/2006/relationships">
<Relationship Id="rId1" Target="../drawings/drawing6.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ser>
          <c:idx val="1"/>
          <c:order val="1"/>
          <c:spPr>
            <a:solidFill>
              <a:srgbClr val="993366"/>
            </a:solidFill>
            <a:ln w="12700">
              <a:solidFill>
                <a:srgbClr val="000000"/>
              </a:solidFill>
              <a:prstDash val="solid"/>
            </a:ln>
          </c:spPr>
          <c:invertIfNegative val="0"/>
          <c:val>
            <c:numLit>
              <c:formatCode>General</c:formatCode>
              <c:ptCount val="1"/>
              <c:pt idx="0">
                <c:v>0</c:v>
              </c:pt>
            </c:numLit>
          </c:val>
        </c:ser>
        <c:ser>
          <c:idx val="3"/>
          <c:order val="2"/>
          <c:spPr>
            <a:solidFill>
              <a:srgbClr val="CCFFFF"/>
            </a:solidFill>
            <a:ln w="12700">
              <a:solidFill>
                <a:srgbClr val="000000"/>
              </a:solidFill>
              <a:prstDash val="solid"/>
            </a:ln>
          </c:spPr>
          <c:invertIfNegative val="0"/>
          <c:val>
            <c:numLit>
              <c:formatCode>General</c:formatCode>
              <c:ptCount val="1"/>
              <c:pt idx="0">
                <c:v>0</c:v>
              </c:pt>
            </c:numLit>
          </c:val>
        </c:ser>
        <c:ser>
          <c:idx val="4"/>
          <c:order val="3"/>
          <c:spPr>
            <a:solidFill>
              <a:srgbClr val="660066"/>
            </a:solidFill>
            <a:ln w="12700">
              <a:solidFill>
                <a:srgbClr val="000000"/>
              </a:solidFill>
              <a:prstDash val="solid"/>
            </a:ln>
          </c:spPr>
          <c:invertIfNegative val="0"/>
          <c:val>
            <c:numLit>
              <c:formatCode>General</c:formatCode>
              <c:ptCount val="1"/>
              <c:pt idx="0">
                <c:v>0</c:v>
              </c:pt>
            </c:numLit>
          </c:val>
        </c:ser>
        <c:ser>
          <c:idx val="5"/>
          <c:order val="4"/>
          <c:spPr>
            <a:solidFill>
              <a:srgbClr val="FF8080"/>
            </a:solidFill>
            <a:ln w="12700">
              <a:solidFill>
                <a:srgbClr val="000000"/>
              </a:solidFill>
              <a:prstDash val="solid"/>
            </a:ln>
          </c:spPr>
          <c:invertIfNegative val="0"/>
          <c:val>
            <c:numLit>
              <c:formatCode>General</c:formatCode>
              <c:ptCount val="1"/>
              <c:pt idx="0">
                <c:v>0</c:v>
              </c:pt>
            </c:numLit>
          </c:val>
        </c:ser>
        <c:ser>
          <c:idx val="6"/>
          <c:order val="5"/>
          <c:spPr>
            <a:solidFill>
              <a:srgbClr val="0066CC"/>
            </a:solidFill>
            <a:ln w="12700">
              <a:solidFill>
                <a:srgbClr val="000000"/>
              </a:solidFill>
              <a:prstDash val="solid"/>
            </a:ln>
          </c:spPr>
          <c:invertIfNegative val="0"/>
          <c:val>
            <c:numLit>
              <c:formatCode>General</c:formatCode>
              <c:ptCount val="1"/>
              <c:pt idx="0">
                <c:v>0</c:v>
              </c:pt>
            </c:numLit>
          </c:val>
        </c:ser>
        <c:ser>
          <c:idx val="2"/>
          <c:order val="6"/>
          <c:spPr>
            <a:solidFill>
              <a:srgbClr val="FFFFCC"/>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262579328"/>
        <c:axId val="262580864"/>
      </c:barChart>
      <c:catAx>
        <c:axId val="26257932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 b="0" i="0" u="none" strike="noStrike" baseline="0">
                <a:solidFill>
                  <a:srgbClr val="000000"/>
                </a:solidFill>
                <a:latin typeface="Times New Roman"/>
                <a:ea typeface="Times New Roman"/>
                <a:cs typeface="Times New Roman"/>
              </a:defRPr>
            </a:pPr>
            <a:endParaRPr lang="en-US"/>
          </a:p>
        </c:txPr>
        <c:crossAx val="262580864"/>
        <c:crosses val="autoZero"/>
        <c:auto val="1"/>
        <c:lblAlgn val="ctr"/>
        <c:lblOffset val="100"/>
        <c:tickLblSkip val="1"/>
        <c:tickMarkSkip val="1"/>
        <c:noMultiLvlLbl val="0"/>
      </c:catAx>
      <c:valAx>
        <c:axId val="262580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Times New Roman"/>
                <a:ea typeface="Times New Roman"/>
                <a:cs typeface="Times New Roman"/>
              </a:defRPr>
            </a:pPr>
            <a:endParaRPr lang="en-US"/>
          </a:p>
        </c:txPr>
        <c:crossAx val="262579328"/>
        <c:crosses val="autoZero"/>
        <c:crossBetween val="between"/>
      </c:valAx>
      <c:spPr>
        <a:noFill/>
        <a:ln w="12700">
          <a:solidFill>
            <a:srgbClr val="808080"/>
          </a:solidFill>
          <a:prstDash val="solid"/>
        </a:ln>
      </c:spPr>
    </c:plotArea>
    <c:legend>
      <c:legendPos val="b"/>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orientation="portrait"/>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262413312"/>
        <c:axId val="262427392"/>
      </c:barChart>
      <c:catAx>
        <c:axId val="2624133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25" b="0" i="0" u="none" strike="noStrike" baseline="0">
                <a:solidFill>
                  <a:srgbClr val="000000"/>
                </a:solidFill>
                <a:latin typeface="Times New Roman"/>
                <a:ea typeface="Times New Roman"/>
                <a:cs typeface="Times New Roman"/>
              </a:defRPr>
            </a:pPr>
            <a:endParaRPr lang="en-US"/>
          </a:p>
        </c:txPr>
        <c:crossAx val="262427392"/>
        <c:crosses val="autoZero"/>
        <c:auto val="1"/>
        <c:lblAlgn val="ctr"/>
        <c:lblOffset val="100"/>
        <c:tickLblSkip val="1"/>
        <c:tickMarkSkip val="1"/>
        <c:noMultiLvlLbl val="0"/>
      </c:catAx>
      <c:valAx>
        <c:axId val="26242739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Times New Roman"/>
                <a:ea typeface="Times New Roman"/>
                <a:cs typeface="Times New Roman"/>
              </a:defRPr>
            </a:pPr>
            <a:endParaRPr lang="en-US"/>
          </a:p>
        </c:txPr>
        <c:crossAx val="26241331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25"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ser>
          <c:idx val="1"/>
          <c:order val="1"/>
          <c:spPr>
            <a:solidFill>
              <a:srgbClr val="993366"/>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262451968"/>
        <c:axId val="262453504"/>
      </c:barChart>
      <c:catAx>
        <c:axId val="262451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00" b="0" i="0" u="none" strike="noStrike" baseline="0">
                <a:solidFill>
                  <a:srgbClr val="000000"/>
                </a:solidFill>
                <a:latin typeface="Times New Roman"/>
                <a:ea typeface="Times New Roman"/>
                <a:cs typeface="Times New Roman"/>
              </a:defRPr>
            </a:pPr>
            <a:endParaRPr lang="en-US"/>
          </a:p>
        </c:txPr>
        <c:crossAx val="262453504"/>
        <c:crosses val="autoZero"/>
        <c:auto val="1"/>
        <c:lblAlgn val="ctr"/>
        <c:lblOffset val="100"/>
        <c:tickLblSkip val="1"/>
        <c:tickMarkSkip val="1"/>
        <c:noMultiLvlLbl val="0"/>
      </c:catAx>
      <c:valAx>
        <c:axId val="26245350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Times New Roman"/>
                <a:ea typeface="Times New Roman"/>
                <a:cs typeface="Times New Roman"/>
              </a:defRPr>
            </a:pPr>
            <a:endParaRPr lang="en-US"/>
          </a:p>
        </c:txPr>
        <c:crossAx val="262451968"/>
        <c:crosses val="autoZero"/>
        <c:crossBetween val="between"/>
      </c:valAx>
      <c:spPr>
        <a:noFill/>
        <a:ln w="12700">
          <a:solidFill>
            <a:srgbClr val="808080"/>
          </a:solidFill>
          <a:prstDash val="solid"/>
        </a:ln>
      </c:spPr>
    </c:plotArea>
    <c:legend>
      <c:legendPos val="b"/>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dLbls>
          <c:val>
            <c:numLit>
              <c:formatCode>General</c:formatCode>
              <c:ptCount val="1"/>
              <c:pt idx="0">
                <c:v>0</c:v>
              </c:pt>
            </c:numLit>
          </c:val>
        </c:ser>
        <c:ser>
          <c:idx val="1"/>
          <c:order val="1"/>
          <c:spPr>
            <a:solidFill>
              <a:srgbClr val="993366"/>
            </a:solidFill>
            <a:ln w="12700">
              <a:solidFill>
                <a:srgbClr val="000000"/>
              </a:solidFill>
              <a:prstDash val="solid"/>
            </a:ln>
          </c:spPr>
          <c:invertIfNegative val="0"/>
          <c:dLbls>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dLbls>
          <c:val>
            <c:numLit>
              <c:formatCode>General</c:formatCode>
              <c:ptCount val="1"/>
              <c:pt idx="0">
                <c:v>0</c:v>
              </c:pt>
            </c:numLit>
          </c:val>
        </c:ser>
        <c:ser>
          <c:idx val="2"/>
          <c:order val="2"/>
          <c:spPr>
            <a:solidFill>
              <a:srgbClr val="FFFFCC"/>
            </a:solidFill>
            <a:ln w="12700">
              <a:solidFill>
                <a:srgbClr val="000000"/>
              </a:solidFill>
              <a:prstDash val="solid"/>
            </a:ln>
          </c:spPr>
          <c:invertIfNegative val="0"/>
          <c:dLbls>
            <c:spPr>
              <a:noFill/>
              <a:ln w="25400">
                <a:noFill/>
              </a:ln>
            </c:spPr>
            <c:txPr>
              <a:bodyPr/>
              <a:lstStyle/>
              <a:p>
                <a:pPr>
                  <a:defRPr sz="1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dLbls>
          <c:val>
            <c:numLit>
              <c:formatCode>General</c:formatCode>
              <c:ptCount val="1"/>
              <c:pt idx="0">
                <c:v>0</c:v>
              </c:pt>
            </c:numLit>
          </c:val>
        </c:ser>
        <c:dLbls>
          <c:showLegendKey val="0"/>
          <c:showVal val="0"/>
          <c:showCatName val="0"/>
          <c:showSerName val="0"/>
          <c:showPercent val="0"/>
          <c:showBubbleSize val="0"/>
        </c:dLbls>
        <c:gapWidth val="150"/>
        <c:axId val="262497024"/>
        <c:axId val="262498560"/>
      </c:barChart>
      <c:catAx>
        <c:axId val="262497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Times New Roman"/>
                <a:ea typeface="Times New Roman"/>
                <a:cs typeface="Times New Roman"/>
              </a:defRPr>
            </a:pPr>
            <a:endParaRPr lang="en-US"/>
          </a:p>
        </c:txPr>
        <c:crossAx val="262498560"/>
        <c:crosses val="autoZero"/>
        <c:auto val="1"/>
        <c:lblAlgn val="ctr"/>
        <c:lblOffset val="100"/>
        <c:tickLblSkip val="1"/>
        <c:tickMarkSkip val="1"/>
        <c:noMultiLvlLbl val="0"/>
      </c:catAx>
      <c:valAx>
        <c:axId val="26249856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Times New Roman"/>
                <a:ea typeface="Times New Roman"/>
                <a:cs typeface="Times New Roman"/>
              </a:defRPr>
            </a:pPr>
            <a:endParaRPr lang="en-US"/>
          </a:p>
        </c:txPr>
        <c:crossAx val="262497024"/>
        <c:crosses val="autoZero"/>
        <c:crossBetween val="between"/>
        <c:majorUnit val="0.02"/>
      </c:valAx>
      <c:spPr>
        <a:noFill/>
        <a:ln w="12700">
          <a:solidFill>
            <a:srgbClr val="808080"/>
          </a:solidFill>
          <a:prstDash val="solid"/>
        </a:ln>
      </c:spPr>
    </c:plotArea>
    <c:legend>
      <c:legendPos val="b"/>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ln w="12700">
              <a:solidFill>
                <a:srgbClr val="000000"/>
              </a:solidFill>
              <a:prstDash val="solid"/>
            </a:ln>
          </c:spPr>
          <c:dPt>
            <c:idx val="0"/>
            <c:bubble3D val="0"/>
            <c:spPr>
              <a:solidFill>
                <a:srgbClr val="969696"/>
              </a:solidFill>
              <a:ln w="12700">
                <a:solidFill>
                  <a:srgbClr val="000000"/>
                </a:solidFill>
                <a:prstDash val="solid"/>
              </a:ln>
            </c:spPr>
          </c:dPt>
          <c:dLbls>
            <c:dLbl>
              <c:idx val="0"/>
              <c:tx>
                <c:rich>
                  <a:bodyPr/>
                  <a:lstStyle/>
                  <a:p>
                    <a:pPr>
                      <a:defRPr sz="150" b="0" i="0" u="none" strike="noStrike" baseline="0">
                        <a:solidFill>
                          <a:srgbClr val="000000"/>
                        </a:solidFill>
                        <a:latin typeface="Times New Roman"/>
                        <a:ea typeface="Times New Roman"/>
                        <a:cs typeface="Times New Roman"/>
                      </a:defRPr>
                    </a:pPr>
                    <a:r>
                      <a:t>Wine-Spirits
74%</a:t>
                    </a:r>
                  </a:p>
                </c:rich>
              </c:tx>
              <c:spPr>
                <a:noFill/>
                <a:ln w="25400">
                  <a:noFill/>
                </a:ln>
              </c:spPr>
              <c:showLegendKey val="0"/>
              <c:showVal val="0"/>
              <c:showCatName val="0"/>
              <c:showSerName val="0"/>
              <c:showPercent val="0"/>
              <c:showBubbleSize val="0"/>
            </c:dLbl>
            <c:numFmt formatCode="0%" sourceLinked="0"/>
            <c:spPr>
              <a:noFill/>
              <a:ln w="25400">
                <a:noFill/>
              </a:ln>
            </c:spPr>
            <c:txPr>
              <a:bodyPr/>
              <a:lstStyle/>
              <a:p>
                <a:pPr>
                  <a:defRPr sz="150" b="0" i="0" u="none" strike="noStrike" baseline="0">
                    <a:solidFill>
                      <a:srgbClr val="000000"/>
                    </a:solidFill>
                    <a:latin typeface="Times New Roman"/>
                    <a:ea typeface="Times New Roman"/>
                    <a:cs typeface="Times New Roman"/>
                  </a:defRPr>
                </a:pPr>
                <a:endParaRPr lang="en-US"/>
              </a:p>
            </c:txPr>
            <c:showLegendKey val="0"/>
            <c:showVal val="0"/>
            <c:showCatName val="1"/>
            <c:showSerName val="0"/>
            <c:showPercent val="1"/>
            <c:showBubbleSize val="0"/>
            <c:showLeaderLines val="1"/>
          </c:dLbls>
          <c:val>
            <c:numLit>
              <c:formatCode>General</c:formatCode>
              <c:ptCount val="1"/>
              <c:pt idx="0">
                <c:v>0</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Lit>
              <c:formatCode>General</c:formatCode>
              <c:ptCount val="1"/>
              <c:pt idx="0">
                <c:v>0</c:v>
              </c:pt>
            </c:numLit>
          </c:val>
        </c:ser>
        <c:ser>
          <c:idx val="1"/>
          <c:order val="1"/>
          <c:spPr>
            <a:solidFill>
              <a:srgbClr val="993366"/>
            </a:solidFill>
            <a:ln w="12700">
              <a:solidFill>
                <a:srgbClr val="000000"/>
              </a:solidFill>
              <a:prstDash val="solid"/>
            </a:ln>
          </c:spPr>
          <c:invertIfNegative val="0"/>
          <c:val>
            <c:numLit>
              <c:formatCode>General</c:formatCode>
              <c:ptCount val="1"/>
              <c:pt idx="0">
                <c:v>0</c:v>
              </c:pt>
            </c:numLit>
          </c:val>
        </c:ser>
        <c:ser>
          <c:idx val="2"/>
          <c:order val="2"/>
          <c:spPr>
            <a:solidFill>
              <a:srgbClr val="FFFFCC"/>
            </a:solidFill>
            <a:ln w="12700">
              <a:solidFill>
                <a:srgbClr val="000000"/>
              </a:solidFill>
              <a:prstDash val="solid"/>
            </a:ln>
          </c:spPr>
          <c:invertIfNegative val="0"/>
          <c:val>
            <c:numLit>
              <c:formatCode>General</c:formatCode>
              <c:ptCount val="1"/>
              <c:pt idx="0">
                <c:v>0</c:v>
              </c:pt>
            </c:numLit>
          </c:val>
        </c:ser>
        <c:dLbls>
          <c:showLegendKey val="0"/>
          <c:showVal val="0"/>
          <c:showCatName val="0"/>
          <c:showSerName val="0"/>
          <c:showPercent val="0"/>
          <c:showBubbleSize val="0"/>
        </c:dLbls>
        <c:gapWidth val="150"/>
        <c:axId val="263727744"/>
        <c:axId val="263729536"/>
      </c:barChart>
      <c:catAx>
        <c:axId val="263727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Times New Roman"/>
                <a:ea typeface="Times New Roman"/>
                <a:cs typeface="Times New Roman"/>
              </a:defRPr>
            </a:pPr>
            <a:endParaRPr lang="en-US"/>
          </a:p>
        </c:txPr>
        <c:crossAx val="263729536"/>
        <c:crosses val="autoZero"/>
        <c:auto val="1"/>
        <c:lblAlgn val="ctr"/>
        <c:lblOffset val="100"/>
        <c:tickLblSkip val="1"/>
        <c:tickMarkSkip val="1"/>
        <c:noMultiLvlLbl val="0"/>
      </c:catAx>
      <c:valAx>
        <c:axId val="26372953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Times New Roman"/>
                <a:ea typeface="Times New Roman"/>
                <a:cs typeface="Times New Roman"/>
              </a:defRPr>
            </a:pPr>
            <a:endParaRPr lang="en-US"/>
          </a:p>
        </c:txPr>
        <c:crossAx val="263727744"/>
        <c:crosses val="autoZero"/>
        <c:crossBetween val="between"/>
      </c:valAx>
      <c:spPr>
        <a:noFill/>
        <a:ln w="12700">
          <a:solidFill>
            <a:srgbClr val="808080"/>
          </a:solidFill>
          <a:prstDash val="solid"/>
        </a:ln>
      </c:spPr>
    </c:plotArea>
    <c:legend>
      <c:legendPos val="b"/>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ln w="12700">
              <a:solidFill>
                <a:srgbClr val="000000"/>
              </a:solidFill>
              <a:prstDash val="solid"/>
            </a:ln>
          </c:spPr>
          <c:dPt>
            <c:idx val="0"/>
            <c:bubble3D val="0"/>
            <c:spPr>
              <a:solidFill>
                <a:srgbClr val="969696"/>
              </a:solidFill>
              <a:ln w="12700">
                <a:solidFill>
                  <a:srgbClr val="000000"/>
                </a:solidFill>
                <a:prstDash val="solid"/>
              </a:ln>
            </c:spPr>
          </c:dPt>
          <c:dLbls>
            <c:dLbl>
              <c:idx val="0"/>
              <c:tx>
                <c:rich>
                  <a:bodyPr/>
                  <a:lstStyle/>
                  <a:p>
                    <a:pPr>
                      <a:defRPr sz="150" b="0" i="0" u="none" strike="noStrike" baseline="0">
                        <a:solidFill>
                          <a:srgbClr val="000000"/>
                        </a:solidFill>
                        <a:latin typeface="Times New Roman"/>
                        <a:ea typeface="Times New Roman"/>
                        <a:cs typeface="Times New Roman"/>
                      </a:defRPr>
                    </a:pPr>
                    <a:r>
                      <a:t>Wine-Spirits
74%</a:t>
                    </a:r>
                  </a:p>
                </c:rich>
              </c:tx>
              <c:spPr>
                <a:noFill/>
                <a:ln w="25400">
                  <a:noFill/>
                </a:ln>
              </c:spPr>
              <c:showLegendKey val="0"/>
              <c:showVal val="0"/>
              <c:showCatName val="0"/>
              <c:showSerName val="0"/>
              <c:showPercent val="0"/>
              <c:showBubbleSize val="0"/>
            </c:dLbl>
            <c:numFmt formatCode="0%" sourceLinked="0"/>
            <c:spPr>
              <a:noFill/>
              <a:ln w="25400">
                <a:noFill/>
              </a:ln>
            </c:spPr>
            <c:txPr>
              <a:bodyPr/>
              <a:lstStyle/>
              <a:p>
                <a:pPr>
                  <a:defRPr sz="150" b="0" i="0" u="none" strike="noStrike" baseline="0">
                    <a:solidFill>
                      <a:srgbClr val="000000"/>
                    </a:solidFill>
                    <a:latin typeface="Times New Roman"/>
                    <a:ea typeface="Times New Roman"/>
                    <a:cs typeface="Times New Roman"/>
                  </a:defRPr>
                </a:pPr>
                <a:endParaRPr lang="en-US"/>
              </a:p>
            </c:txPr>
            <c:showLegendKey val="0"/>
            <c:showVal val="0"/>
            <c:showCatName val="1"/>
            <c:showSerName val="0"/>
            <c:showPercent val="1"/>
            <c:showBubbleSize val="0"/>
            <c:showLeaderLines val="1"/>
          </c:dLbls>
          <c:val>
            <c:numLit>
              <c:formatCode>General</c:formatCode>
              <c:ptCount val="1"/>
              <c:pt idx="0">
                <c:v>0</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ln w="12700">
              <a:solidFill>
                <a:srgbClr val="000000"/>
              </a:solidFill>
              <a:prstDash val="solid"/>
            </a:ln>
          </c:spPr>
          <c:dPt>
            <c:idx val="0"/>
            <c:bubble3D val="0"/>
            <c:spPr>
              <a:solidFill>
                <a:srgbClr val="969696"/>
              </a:solidFill>
              <a:ln w="12700">
                <a:solidFill>
                  <a:srgbClr val="000000"/>
                </a:solidFill>
                <a:prstDash val="solid"/>
              </a:ln>
            </c:spPr>
          </c:dPt>
          <c:dLbls>
            <c:dLbl>
              <c:idx val="0"/>
              <c:tx>
                <c:rich>
                  <a:bodyPr/>
                  <a:lstStyle/>
                  <a:p>
                    <a:pPr>
                      <a:defRPr sz="150" b="0" i="0" u="none" strike="noStrike" baseline="0">
                        <a:solidFill>
                          <a:srgbClr val="000000"/>
                        </a:solidFill>
                        <a:latin typeface="Times New Roman"/>
                        <a:ea typeface="Times New Roman"/>
                        <a:cs typeface="Times New Roman"/>
                      </a:defRPr>
                    </a:pPr>
                    <a:r>
                      <a:t>Wine-Spirits
74%</a:t>
                    </a:r>
                  </a:p>
                </c:rich>
              </c:tx>
              <c:spPr>
                <a:noFill/>
                <a:ln w="25400">
                  <a:noFill/>
                </a:ln>
              </c:spPr>
              <c:showLegendKey val="0"/>
              <c:showVal val="0"/>
              <c:showCatName val="0"/>
              <c:showSerName val="0"/>
              <c:showPercent val="0"/>
              <c:showBubbleSize val="0"/>
            </c:dLbl>
            <c:numFmt formatCode="0%" sourceLinked="0"/>
            <c:spPr>
              <a:noFill/>
              <a:ln w="25400">
                <a:noFill/>
              </a:ln>
            </c:spPr>
            <c:txPr>
              <a:bodyPr/>
              <a:lstStyle/>
              <a:p>
                <a:pPr>
                  <a:defRPr sz="150" b="0" i="0" u="none" strike="noStrike" baseline="0">
                    <a:solidFill>
                      <a:srgbClr val="000000"/>
                    </a:solidFill>
                    <a:latin typeface="Times New Roman"/>
                    <a:ea typeface="Times New Roman"/>
                    <a:cs typeface="Times New Roman"/>
                  </a:defRPr>
                </a:pPr>
                <a:endParaRPr lang="en-US"/>
              </a:p>
            </c:txPr>
            <c:showLegendKey val="0"/>
            <c:showVal val="0"/>
            <c:showCatName val="1"/>
            <c:showSerName val="0"/>
            <c:showPercent val="1"/>
            <c:showBubbleSize val="0"/>
            <c:showLeaderLines val="1"/>
          </c:dLbls>
          <c:val>
            <c:numLit>
              <c:formatCode>General</c:formatCode>
              <c:ptCount val="1"/>
              <c:pt idx="0">
                <c:v>0</c:v>
              </c:pt>
            </c:numLit>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Wine &amp; Spirits Organic Sales/EBIT Growth</a:t>
            </a:r>
          </a:p>
        </c:rich>
      </c:tx>
      <c:layout>
        <c:manualLayout>
          <c:xMode val="edge"/>
          <c:yMode val="edge"/>
          <c:x val="5.4173663074724389E-3"/>
          <c:y val="9.3380018440715456E-3"/>
        </c:manualLayout>
      </c:layout>
      <c:overlay val="0"/>
    </c:title>
    <c:autoTitleDeleted val="0"/>
    <c:plotArea>
      <c:layout>
        <c:manualLayout>
          <c:layoutTarget val="inner"/>
          <c:xMode val="edge"/>
          <c:yMode val="edge"/>
          <c:x val="9.824945794819126E-2"/>
          <c:y val="0.16389369677522767"/>
          <c:w val="0.87138477255560443"/>
          <c:h val="0.71914010973255071"/>
        </c:manualLayout>
      </c:layout>
      <c:barChart>
        <c:barDir val="col"/>
        <c:grouping val="clustered"/>
        <c:varyColors val="0"/>
        <c:ser>
          <c:idx val="0"/>
          <c:order val="0"/>
          <c:invertIfNegative val="0"/>
          <c:cat>
            <c:multiLvlStrRef>
              <c:f>'Pro-Forma Segments'!$W$689:$W$694</c:f>
            </c:multiLvlStrRef>
          </c:cat>
          <c:val>
            <c:numRef>
              <c:f>'Pro-Forma Segments'!$X$689:$X$694</c:f>
            </c:numRef>
          </c:val>
        </c:ser>
        <c:ser>
          <c:idx val="1"/>
          <c:order val="1"/>
          <c:invertIfNegative val="0"/>
          <c:cat>
            <c:multiLvlStrRef>
              <c:f>'Pro-Forma Segments'!$W$689:$W$694</c:f>
            </c:multiLvlStrRef>
          </c:cat>
          <c:val>
            <c:numRef>
              <c:f>'Pro-Forma Segments'!$Y$689:$Y$694</c:f>
            </c:numRef>
          </c:val>
        </c:ser>
        <c:ser>
          <c:idx val="2"/>
          <c:order val="2"/>
          <c:invertIfNegative val="0"/>
          <c:cat>
            <c:multiLvlStrRef>
              <c:f>'Pro-Forma Segments'!$W$689:$W$694</c:f>
            </c:multiLvlStrRef>
          </c:cat>
          <c:val>
            <c:numRef>
              <c:f>'Pro-Forma Segments'!$Z$689:$Z$694</c:f>
            </c:numRef>
          </c:val>
        </c:ser>
        <c:ser>
          <c:idx val="3"/>
          <c:order val="3"/>
          <c:invertIfNegative val="0"/>
          <c:cat>
            <c:multiLvlStrRef>
              <c:f>'Pro-Forma Segments'!$W$689:$W$694</c:f>
            </c:multiLvlStrRef>
          </c:cat>
          <c:val>
            <c:numRef>
              <c:f>'Pro-Forma Segments'!$AA$689:$AA$694</c:f>
            </c:numRef>
          </c:val>
        </c:ser>
        <c:ser>
          <c:idx val="4"/>
          <c:order val="4"/>
          <c:spPr>
            <a:solidFill>
              <a:schemeClr val="accent1"/>
            </a:solidFill>
          </c:spPr>
          <c:invertIfNegative val="0"/>
          <c:dPt>
            <c:idx val="2"/>
            <c:invertIfNegative val="0"/>
            <c:bubble3D val="0"/>
            <c:spPr>
              <a:solidFill>
                <a:schemeClr val="bg2"/>
              </a:solidFill>
            </c:spPr>
          </c:dPt>
          <c:dPt>
            <c:idx val="5"/>
            <c:invertIfNegative val="0"/>
            <c:bubble3D val="0"/>
            <c:spPr>
              <a:solidFill>
                <a:schemeClr val="bg2"/>
              </a:solidFill>
            </c:spPr>
          </c:dPt>
          <c:cat>
            <c:multiLvlStrRef>
              <c:f>'Pro-Forma Segments'!$W$689:$W$694</c:f>
            </c:multiLvlStrRef>
          </c:cat>
          <c:val>
            <c:numRef>
              <c:f>'Pro-Forma Segments'!$AB$689:$AB$694</c:f>
              <c:numCache>
                <c:formatCode>General</c:formatCode>
                <c:ptCount val="6"/>
              </c:numCache>
            </c:numRef>
          </c:val>
        </c:ser>
        <c:dLbls>
          <c:dLblPos val="outEnd"/>
          <c:showLegendKey val="0"/>
          <c:showVal val="1"/>
          <c:showCatName val="0"/>
          <c:showSerName val="0"/>
          <c:showPercent val="0"/>
          <c:showBubbleSize val="0"/>
        </c:dLbls>
        <c:gapWidth val="150"/>
        <c:axId val="370745344"/>
        <c:axId val="370746880"/>
      </c:barChart>
      <c:catAx>
        <c:axId val="370745344"/>
        <c:scaling>
          <c:orientation val="minMax"/>
        </c:scaling>
        <c:delete val="0"/>
        <c:axPos val="b"/>
        <c:majorTickMark val="out"/>
        <c:minorTickMark val="none"/>
        <c:tickLblPos val="nextTo"/>
        <c:crossAx val="370746880"/>
        <c:crosses val="autoZero"/>
        <c:auto val="1"/>
        <c:lblAlgn val="ctr"/>
        <c:lblOffset val="100"/>
        <c:noMultiLvlLbl val="0"/>
      </c:catAx>
      <c:valAx>
        <c:axId val="370746880"/>
        <c:scaling>
          <c:orientation val="minMax"/>
        </c:scaling>
        <c:delete val="0"/>
        <c:axPos val="l"/>
        <c:numFmt formatCode="General" sourceLinked="1"/>
        <c:majorTickMark val="out"/>
        <c:minorTickMark val="none"/>
        <c:tickLblPos val="nextTo"/>
        <c:crossAx val="370745344"/>
        <c:crosses val="autoZero"/>
        <c:crossBetween val="between"/>
      </c:valAx>
    </c:plotArea>
    <c:plotVisOnly val="1"/>
    <c:dispBlanksAs val="gap"/>
    <c:showDLblsOverMax val="0"/>
  </c:chart>
  <c:spPr>
    <a:ln>
      <a:noFill/>
    </a:ln>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 Id="rId9" Target="../charts/chart9.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22860</xdr:colOff>
      <xdr:row>0</xdr:row>
      <xdr:rowOff>30480</xdr:rowOff>
    </xdr:from>
    <xdr:to>
      <xdr:col>0</xdr:col>
      <xdr:colOff>1630680</xdr:colOff>
      <xdr:row>0</xdr:row>
      <xdr:rowOff>327660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30480"/>
          <a:ext cx="1607820" cy="297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22860</xdr:colOff>
      <xdr:row>0</xdr:row>
      <xdr:rowOff>91440</xdr:rowOff>
    </xdr:from>
    <xdr:to>
      <xdr:col>1</xdr:col>
      <xdr:colOff>533400</xdr:colOff>
      <xdr:row>0</xdr:row>
      <xdr:rowOff>312420</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860" y="91440"/>
          <a:ext cx="227838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297180</xdr:colOff>
      <xdr:row>199</xdr:row>
      <xdr:rowOff>144780</xdr:rowOff>
    </xdr:to>
    <xdr:pic>
      <xdr:nvPicPr>
        <xdr:cNvPr id="55794689" name="Picture 1" descr="C:\Users\rotonsco\AppData\Local\Temp\MercuryPriceRatingHistoryChart\STZ.N_2018_04_08_18_47_4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041600"/>
          <a:ext cx="6400800" cy="3832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381000</xdr:colOff>
      <xdr:row>1</xdr:row>
      <xdr:rowOff>66675</xdr:rowOff>
    </xdr:from>
    <xdr:to>
      <xdr:col>4</xdr:col>
      <xdr:colOff>333375</xdr:colOff>
      <xdr:row>10</xdr:row>
      <xdr:rowOff>66675</xdr:rowOff>
    </xdr:to>
    <xdr:pic>
      <xdr:nvPicPr>
        <xdr:cNvPr id="6127546" name="Picture 1" descr="banner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209550"/>
          <a:ext cx="2228850"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11</xdr:row>
      <xdr:rowOff>0</xdr:rowOff>
    </xdr:from>
    <xdr:to>
      <xdr:col>3</xdr:col>
      <xdr:colOff>0</xdr:colOff>
      <xdr:row>11</xdr:row>
      <xdr:rowOff>0</xdr:rowOff>
    </xdr:to>
    <xdr:graphicFrame macro="">
      <xdr:nvGraphicFramePr>
        <xdr:cNvPr id="55715345" name="Chart 1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11</xdr:row>
      <xdr:rowOff>0</xdr:rowOff>
    </xdr:from>
    <xdr:to>
      <xdr:col>3</xdr:col>
      <xdr:colOff>0</xdr:colOff>
      <xdr:row>11</xdr:row>
      <xdr:rowOff>0</xdr:rowOff>
    </xdr:to>
    <xdr:graphicFrame macro="">
      <xdr:nvGraphicFramePr>
        <xdr:cNvPr id="55715346" name="Chart 2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11</xdr:row>
      <xdr:rowOff>0</xdr:rowOff>
    </xdr:from>
    <xdr:to>
      <xdr:col>3</xdr:col>
      <xdr:colOff>0</xdr:colOff>
      <xdr:row>11</xdr:row>
      <xdr:rowOff>0</xdr:rowOff>
    </xdr:to>
    <xdr:graphicFrame macro="">
      <xdr:nvGraphicFramePr>
        <xdr:cNvPr id="55715347" name="Chart 3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11</xdr:row>
      <xdr:rowOff>0</xdr:rowOff>
    </xdr:from>
    <xdr:to>
      <xdr:col>3</xdr:col>
      <xdr:colOff>0</xdr:colOff>
      <xdr:row>11</xdr:row>
      <xdr:rowOff>0</xdr:rowOff>
    </xdr:to>
    <xdr:graphicFrame macro="">
      <xdr:nvGraphicFramePr>
        <xdr:cNvPr id="55715348" name="Chart 4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11</xdr:row>
      <xdr:rowOff>0</xdr:rowOff>
    </xdr:from>
    <xdr:to>
      <xdr:col>3</xdr:col>
      <xdr:colOff>0</xdr:colOff>
      <xdr:row>11</xdr:row>
      <xdr:rowOff>0</xdr:rowOff>
    </xdr:to>
    <xdr:graphicFrame macro="">
      <xdr:nvGraphicFramePr>
        <xdr:cNvPr id="55715349" name="Chart 5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11</xdr:row>
      <xdr:rowOff>0</xdr:rowOff>
    </xdr:from>
    <xdr:to>
      <xdr:col>3</xdr:col>
      <xdr:colOff>0</xdr:colOff>
      <xdr:row>11</xdr:row>
      <xdr:rowOff>0</xdr:rowOff>
    </xdr:to>
    <xdr:graphicFrame macro="">
      <xdr:nvGraphicFramePr>
        <xdr:cNvPr id="55715350" name="Chart 6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11</xdr:row>
      <xdr:rowOff>0</xdr:rowOff>
    </xdr:from>
    <xdr:to>
      <xdr:col>3</xdr:col>
      <xdr:colOff>0</xdr:colOff>
      <xdr:row>11</xdr:row>
      <xdr:rowOff>0</xdr:rowOff>
    </xdr:to>
    <xdr:graphicFrame macro="">
      <xdr:nvGraphicFramePr>
        <xdr:cNvPr id="55715351" name="Chart 7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11</xdr:row>
      <xdr:rowOff>0</xdr:rowOff>
    </xdr:from>
    <xdr:to>
      <xdr:col>3</xdr:col>
      <xdr:colOff>0</xdr:colOff>
      <xdr:row>11</xdr:row>
      <xdr:rowOff>0</xdr:rowOff>
    </xdr:to>
    <xdr:graphicFrame macro="">
      <xdr:nvGraphicFramePr>
        <xdr:cNvPr id="55715352" name="Chart 8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42</xdr:col>
      <xdr:colOff>653143</xdr:colOff>
      <xdr:row>693</xdr:row>
      <xdr:rowOff>85724</xdr:rowOff>
    </xdr:from>
    <xdr:to>
      <xdr:col>73</xdr:col>
      <xdr:colOff>453118</xdr:colOff>
      <xdr:row>710</xdr:row>
      <xdr:rowOff>53067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0.58962</cdr:x>
      <cdr:y>0.22069</cdr:y>
    </cdr:from>
    <cdr:to>
      <cdr:x>0.69339</cdr:x>
      <cdr:y>0.227</cdr:y>
    </cdr:to>
    <cdr:sp macro="" textlink="">
      <cdr:nvSpPr>
        <cdr:cNvPr id="10241" name="Text Box 1"/>
        <cdr:cNvSpPr txBox="1">
          <a:spLocks xmlns:a="http://schemas.openxmlformats.org/drawingml/2006/main" noChangeArrowheads="1"/>
        </cdr:cNvSpPr>
      </cdr:nvSpPr>
      <cdr:spPr bwMode="auto">
        <a:xfrm xmlns:a="http://schemas.openxmlformats.org/drawingml/2006/main">
          <a:off x="435620" y="165033"/>
          <a:ext cx="76102" cy="4627"/>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00" b="0" i="0" u="none" strike="noStrike" baseline="0">
              <a:solidFill>
                <a:srgbClr val="000000"/>
              </a:solidFill>
              <a:latin typeface="Times New Roman"/>
              <a:cs typeface="Times New Roman"/>
            </a:rPr>
            <a:t>Next Quarterly Comp</a:t>
          </a:r>
        </a:p>
      </cdr:txBody>
    </cdr:sp>
  </cdr:relSizeAnchor>
  <cdr:relSizeAnchor xmlns:cdr="http://schemas.openxmlformats.org/drawingml/2006/chartDrawing">
    <cdr:from>
      <cdr:x>0.56831</cdr:x>
      <cdr:y>0.23048</cdr:y>
    </cdr:from>
    <cdr:to>
      <cdr:x>0.63008</cdr:x>
      <cdr:y>0.25441</cdr:y>
    </cdr:to>
    <cdr:sp macro="" textlink="">
      <cdr:nvSpPr>
        <cdr:cNvPr id="10242" name="Line 2"/>
        <cdr:cNvSpPr>
          <a:spLocks xmlns:a="http://schemas.openxmlformats.org/drawingml/2006/main" noChangeShapeType="1"/>
        </cdr:cNvSpPr>
      </cdr:nvSpPr>
      <cdr:spPr bwMode="auto">
        <a:xfrm xmlns:a="http://schemas.openxmlformats.org/drawingml/2006/main" flipH="1">
          <a:off x="419984" y="172213"/>
          <a:ext cx="45311" cy="1755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type="arrow" w="sm" len="sm"/>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0.54503</cdr:x>
      <cdr:y>0.35817</cdr:y>
    </cdr:from>
    <cdr:to>
      <cdr:x>0.55438</cdr:x>
      <cdr:y>0.36948</cdr:y>
    </cdr:to>
    <cdr:sp macro="" textlink="">
      <cdr:nvSpPr>
        <cdr:cNvPr id="11265" name="Text Box 1"/>
        <cdr:cNvSpPr txBox="1">
          <a:spLocks xmlns:a="http://schemas.openxmlformats.org/drawingml/2006/main" noChangeArrowheads="1"/>
        </cdr:cNvSpPr>
      </cdr:nvSpPr>
      <cdr:spPr bwMode="auto">
        <a:xfrm xmlns:a="http://schemas.openxmlformats.org/drawingml/2006/main">
          <a:off x="402913" y="265865"/>
          <a:ext cx="6860" cy="8296"/>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Lst>
      </cdr:spPr>
      <cdr:txBody>
        <a:bodyPr xmlns:a="http://schemas.openxmlformats.org/drawingml/2006/main" vertOverflow="clip" wrap="square" lIns="18288" tIns="18288" rIns="18288" bIns="18288" anchor="ctr" upright="1"/>
        <a:lstStyle xmlns:a="http://schemas.openxmlformats.org/drawingml/2006/main"/>
        <a:p xmlns:a="http://schemas.openxmlformats.org/drawingml/2006/main">
          <a:pPr algn="ctr" rtl="0">
            <a:defRPr sz="1000"/>
          </a:pPr>
          <a:r>
            <a:rPr lang="en-US" sz="100" b="0" i="0" u="none" strike="noStrike" baseline="0">
              <a:solidFill>
                <a:srgbClr val="000000"/>
              </a:solidFill>
              <a:latin typeface="Times New Roman"/>
              <a:cs typeface="Times New Roman"/>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0.53505</cdr:x>
      <cdr:y>0.08054</cdr:y>
    </cdr:from>
    <cdr:to>
      <cdr:x>0.53712</cdr:x>
      <cdr:y>0.96298</cdr:y>
    </cdr:to>
    <cdr:cxnSp macro="">
      <cdr:nvCxnSpPr>
        <cdr:cNvPr id="3" name="Straight Connector 2"/>
        <cdr:cNvCxnSpPr/>
      </cdr:nvCxnSpPr>
      <cdr:spPr>
        <a:xfrm xmlns:a="http://schemas.openxmlformats.org/drawingml/2006/main" flipV="1">
          <a:off x="2461532" y="219076"/>
          <a:ext cx="9525" cy="2400300"/>
        </a:xfrm>
        <a:prstGeom xmlns:a="http://schemas.openxmlformats.org/drawingml/2006/main" prst="line">
          <a:avLst/>
        </a:prstGeom>
        <a:ln xmlns:a="http://schemas.openxmlformats.org/drawingml/2006/main">
          <a:solidFill>
            <a:schemeClr val="tx1"/>
          </a:solidFill>
          <a:prstDash val="sys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0.14167</cdr:x>
      <cdr:y>0.08404</cdr:y>
    </cdr:from>
    <cdr:to>
      <cdr:x>0.47294</cdr:x>
      <cdr:y>0.25563</cdr:y>
    </cdr:to>
    <cdr:sp macro="" textlink="">
      <cdr:nvSpPr>
        <cdr:cNvPr id="4" name="TextBox 3"/>
        <cdr:cNvSpPr txBox="1"/>
      </cdr:nvSpPr>
      <cdr:spPr>
        <a:xfrm xmlns:a="http://schemas.openxmlformats.org/drawingml/2006/main">
          <a:off x="651782" y="228601"/>
          <a:ext cx="1524000" cy="4667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u="sng"/>
            <a:t>Organic Sales Growth</a:t>
          </a:r>
        </a:p>
      </cdr:txBody>
    </cdr:sp>
  </cdr:relSizeAnchor>
  <cdr:relSizeAnchor xmlns:cdr="http://schemas.openxmlformats.org/drawingml/2006/chartDrawing">
    <cdr:from>
      <cdr:x>0.62181</cdr:x>
      <cdr:y>0.08871</cdr:y>
    </cdr:from>
    <cdr:to>
      <cdr:x>0.95307</cdr:x>
      <cdr:y>0.2603</cdr:y>
    </cdr:to>
    <cdr:sp macro="" textlink="">
      <cdr:nvSpPr>
        <cdr:cNvPr id="5" name="TextBox 1"/>
        <cdr:cNvSpPr txBox="1"/>
      </cdr:nvSpPr>
      <cdr:spPr>
        <a:xfrm xmlns:a="http://schemas.openxmlformats.org/drawingml/2006/main">
          <a:off x="2860675" y="241300"/>
          <a:ext cx="1524000" cy="4667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u="sng"/>
            <a:t>Organic EBIT Growth</a:t>
          </a:r>
        </a:p>
      </cdr:txBody>
    </cdr:sp>
  </cdr:relSizeAnchor>
</c:userShapes>
</file>

<file path=xl/externalLinks/_rels/externalLink1.xml.rels><?xml version="1.0" encoding="UTF-8" standalone="yes"?>
<Relationships xmlns="http://schemas.openxmlformats.org/package/2006/relationships">
<Relationship Id="rId1" Target="file://///MSAD/ROOT/NA/NY/LIB/ER/CONSUMER/STAPLES/ACV/Charts/ACV_Charts_Workbook.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ttp://office-na.ms.com/research/BestContent/SmartCharts1/SmartChart_B1070.xls"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CONSUMER/STAPLES/TUP/SmartCharts/TUP_Charts_Workbook2.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CONSUMER/STAPLES/Industry/Presentations/Consumer_Cross-Div_Meeting_Beverages.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file://///MSAD/ROOT/NA/NY/LIB/ER/CONSUMER/STAPLES/Valuation/SMID_HPC_Pro-Forma_PE_Levered.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food/XLDATA/Global/Modelware/Consumer%20Valuation%20Compsheets/New_Global_Comps_2006.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food/XLDATA/SM/VALTAB/VALFEURO.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RecoveredExternalLink1" TargetMode="External" Type="http://schemas.microsoft.com/office/2006/relationships/xlExternalLinkPath/xlPathMissing"/>
</Relationships>

</file>

<file path=xl/externalLinks/_rels/externalLink9.xml.rels><?xml version="1.0" encoding="UTF-8" standalone="yes"?>
<Relationships xmlns="http://schemas.openxmlformats.org/package/2006/relationships">
<Relationship Id="rId1" Target="food/XLDATA/Global/Modelware/Consumer%20Valuation%20Compsheets/ConsumerValuationCompsheet_07_with%20changes%20made%20to%20Perf_MW.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CONSUMER/STAPLES/IRI/Alcohol/Other/IRI_CSDs_Beer_Demand_Elasticity.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2.xml.rels><?xml version="1.0" encoding="UTF-8" standalone="yes"?>
<Relationships xmlns="http://schemas.openxmlformats.org/package/2006/relationships">
<Relationship Id="rId1" Target="food/XLDATA/Global/Modelware/Consumer%20Valuation%20Compsheets/ConsumerValuationCompsheet_08_IndustryHardcoded.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ipped SGA"/>
      <sheetName val="YoY Comps"/>
      <sheetName val="2 Yr forecast"/>
      <sheetName val="UK Top HC Brands"/>
      <sheetName val="US Top HC Brands"/>
      <sheetName val="2 Year Avg Sales "/>
      <sheetName val="Two-Year Avg Org Growth"/>
      <sheetName val="Share Repo Commentary "/>
      <sheetName val="HPC Deal Multiples"/>
      <sheetName val="5 YrRevGrowth ex-NexxusTres"/>
      <sheetName val="Share Repurchases"/>
      <sheetName val="Share Repurchase Table"/>
      <sheetName val="EPS Accretion % Pro-Forma Deal"/>
      <sheetName val="Noxzema Sensitivity"/>
      <sheetName val="SHAMPOO LEAD SCHEDULE"/>
      <sheetName val="IRI_Shampoo_Price_Points"/>
      <sheetName val="Organic Sales Growth_Geo"/>
      <sheetName val="Hair Care Dollar Share"/>
      <sheetName val="Top_HC_and_SC_Brands"/>
      <sheetName val="Shampoo_ Price Points"/>
      <sheetName val="Private_Label"/>
      <sheetName val="C1400-new"/>
      <sheetName val="Operating_Margin_Walk"/>
      <sheetName val="Top Global HairCare markets "/>
      <sheetName val="Hair_Care_Scanner_Data"/>
      <sheetName val="ACV_Geographic_Mix"/>
      <sheetName val="ACV_Brand_Mix"/>
      <sheetName val="C1400"/>
      <sheetName val="B1400"/>
      <sheetName val="C3400v1"/>
      <sheetName val="Global_HPC_Select_Cats"/>
      <sheetName val="ACV_vs_Hair_Care_Cat_Growth"/>
      <sheetName val="US_Hair_Care_Share_Change"/>
      <sheetName val="US_Hair_Care_Mkt_Share"/>
      <sheetName val="O1200"/>
      <sheetName val="Leverage_Analysis"/>
      <sheetName val="CoreSG&amp;A"/>
      <sheetName val="HPC_SG&amp;A_%_Revenues"/>
      <sheetName val="FX_Impact"/>
      <sheetName val="HPC_Net_Debt_EBITDA"/>
      <sheetName val="Nexxus_Rev_CAGR"/>
      <sheetName val="Share_Repurchases"/>
      <sheetName val="ACV_New_Product_Growth"/>
      <sheetName val="IRI_New_Product_Contribution"/>
      <sheetName val="Tresemme_VO5_Intl_Growth"/>
      <sheetName val="New_Product_Contribution"/>
      <sheetName val="New Product % total Org Growth"/>
      <sheetName val="Nexxus_Tracked_Channel"/>
      <sheetName val="MS_vs_Consensus"/>
      <sheetName val="BrandMix"/>
      <sheetName val="5 Year CAGR Comp"/>
      <sheetName val="ACV Topline Org Growth Bar"/>
      <sheetName val="GM Forecast"/>
      <sheetName val="L4Q_N4Q Comp"/>
      <sheetName val="N3Q_Comp_Industry"/>
      <sheetName val="Data"/>
      <sheetName val="EV-EBITDA_HPC"/>
      <sheetName val="__FDSCACHE__"/>
      <sheetName val="BullBaseBear"/>
      <sheetName val="Org Sales Growth"/>
      <sheetName val="A&amp;P"/>
      <sheetName val="A&amp;P (2)"/>
      <sheetName val="A&amp;P (3)"/>
      <sheetName val="DG_Performance"/>
      <sheetName val="DG_Performance (2)"/>
      <sheetName val="Simple_EPS_OpLev"/>
      <sheetName val="ShampooVsLaundry"/>
      <sheetName val="#REF"/>
      <sheetName val="EV_EBITDA_HPC"/>
      <sheetName val="mware"/>
      <sheetName val="settings"/>
      <sheetName val="master"/>
      <sheetName val="BarChart"/>
    </sheetNames>
    <sheetDataSet>
      <sheetData sheetId="0">
        <row r="1">
          <cell r="N1" t="str">
            <v>SmartCharts</v>
          </cell>
        </row>
      </sheetData>
      <sheetData sheetId="1">
        <row r="1">
          <cell r="N1" t="str">
            <v>SmartCharts</v>
          </cell>
        </row>
      </sheetData>
      <sheetData sheetId="2">
        <row r="1">
          <cell r="N1" t="str">
            <v>SmartCharts</v>
          </cell>
          <cell r="AW1" t="str">
            <v>.</v>
          </cell>
        </row>
        <row r="2">
          <cell r="AW2" t="str">
            <v>.</v>
          </cell>
        </row>
        <row r="3">
          <cell r="AW3" t="str">
            <v>.</v>
          </cell>
        </row>
        <row r="4">
          <cell r="AW4" t="str">
            <v>.</v>
          </cell>
        </row>
        <row r="5">
          <cell r="C5" t="str">
            <v>Define value axis here:</v>
          </cell>
        </row>
        <row r="6">
          <cell r="C6" t="str">
            <v>Two Year Average Organic Sales Growth</v>
          </cell>
        </row>
        <row r="9">
          <cell r="D9">
            <v>7.5357720581184881E-2</v>
          </cell>
        </row>
        <row r="10">
          <cell r="C10" t="str">
            <v>Input your data here:</v>
          </cell>
          <cell r="AW10" t="str">
            <v>.</v>
          </cell>
        </row>
        <row r="11">
          <cell r="C11">
            <v>2008</v>
          </cell>
          <cell r="D11">
            <v>8.8655250032498384E-2</v>
          </cell>
        </row>
        <row r="12">
          <cell r="C12" t="str">
            <v>H109</v>
          </cell>
          <cell r="D12">
            <v>7.6590758725193539E-2</v>
          </cell>
          <cell r="AW12" t="str">
            <v>.</v>
          </cell>
        </row>
        <row r="13">
          <cell r="C13" t="str">
            <v>H209</v>
          </cell>
          <cell r="D13">
            <v>6.0827152985862734E-2</v>
          </cell>
          <cell r="AW13" t="str">
            <v>.</v>
          </cell>
        </row>
        <row r="14">
          <cell r="C14" t="str">
            <v>2010e</v>
          </cell>
          <cell r="D14">
            <v>4.6513096416965265E-2</v>
          </cell>
          <cell r="AW14" t="str">
            <v>.</v>
          </cell>
        </row>
        <row r="15">
          <cell r="C15" t="str">
            <v>2011e</v>
          </cell>
          <cell r="D15">
            <v>4.4756817192740279E-2</v>
          </cell>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
        <row r="1">
          <cell r="N1" t="str">
            <v>SmartCharts</v>
          </cell>
          <cell r="AW1" t="str">
            <v>.</v>
          </cell>
        </row>
        <row r="2">
          <cell r="AW2" t="str">
            <v>.</v>
          </cell>
        </row>
        <row r="3">
          <cell r="AW3" t="str">
            <v>.</v>
          </cell>
        </row>
        <row r="4">
          <cell r="AW4" t="str">
            <v>.</v>
          </cell>
        </row>
        <row r="5">
          <cell r="C5" t="str">
            <v>Define value axis here:</v>
          </cell>
        </row>
        <row r="6">
          <cell r="C6" t="str">
            <v>UK Hair Care Market Share ($) - 2008</v>
          </cell>
        </row>
        <row r="9">
          <cell r="D9">
            <v>0.37500000000000011</v>
          </cell>
        </row>
        <row r="10">
          <cell r="C10" t="str">
            <v>Input your data here:</v>
          </cell>
          <cell r="AW10" t="str">
            <v>.</v>
          </cell>
        </row>
        <row r="11">
          <cell r="C11" t="str">
            <v>Pantene Pro-V</v>
          </cell>
          <cell r="D11">
            <v>7.2999999999999995E-2</v>
          </cell>
          <cell r="AW11" t="str">
            <v>.</v>
          </cell>
        </row>
        <row r="12">
          <cell r="C12" t="str">
            <v>John Frieda</v>
          </cell>
          <cell r="D12">
            <v>5.4000000000000006E-2</v>
          </cell>
          <cell r="AW12" t="str">
            <v>.</v>
          </cell>
        </row>
        <row r="13">
          <cell r="C13" t="str">
            <v>Alberto VO5</v>
          </cell>
          <cell r="D13">
            <v>4.2000000000000003E-2</v>
          </cell>
          <cell r="AW13" t="str">
            <v>.</v>
          </cell>
        </row>
        <row r="14">
          <cell r="C14" t="str">
            <v>Elsève/Elvive</v>
          </cell>
          <cell r="D14">
            <v>3.7000000000000005E-2</v>
          </cell>
          <cell r="AW14" t="str">
            <v>.</v>
          </cell>
        </row>
        <row r="15">
          <cell r="C15" t="str">
            <v>Clairol Herbal Essences</v>
          </cell>
          <cell r="D15">
            <v>3.6000000000000004E-2</v>
          </cell>
          <cell r="AW15" t="str">
            <v>.</v>
          </cell>
        </row>
        <row r="16">
          <cell r="C16" t="str">
            <v>Head &amp; Shoulders</v>
          </cell>
          <cell r="D16">
            <v>3.6000000000000004E-2</v>
          </cell>
          <cell r="AW16" t="str">
            <v>.</v>
          </cell>
        </row>
        <row r="17">
          <cell r="C17" t="str">
            <v>TRESemmé</v>
          </cell>
          <cell r="D17">
            <v>3.2000000000000001E-2</v>
          </cell>
          <cell r="AW17" t="str">
            <v>.</v>
          </cell>
        </row>
        <row r="18">
          <cell r="C18" t="str">
            <v>Sunsilk</v>
          </cell>
          <cell r="D18">
            <v>2.6000000000000002E-2</v>
          </cell>
          <cell r="AW18" t="str">
            <v>.</v>
          </cell>
        </row>
        <row r="19">
          <cell r="C19" t="str">
            <v>Garnier Fructis</v>
          </cell>
          <cell r="D19">
            <v>0.02</v>
          </cell>
          <cell r="AW19" t="str">
            <v>.</v>
          </cell>
        </row>
        <row r="20">
          <cell r="C20" t="str">
            <v>Clairol Nice 'n' Easy</v>
          </cell>
          <cell r="D20">
            <v>1.9E-2</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4">
        <row r="1">
          <cell r="N1" t="str">
            <v>SmartCharts</v>
          </cell>
          <cell r="AW1" t="str">
            <v>.</v>
          </cell>
        </row>
        <row r="2">
          <cell r="AW2" t="str">
            <v>.</v>
          </cell>
        </row>
        <row r="3">
          <cell r="AW3" t="str">
            <v>.</v>
          </cell>
        </row>
        <row r="4">
          <cell r="AW4" t="str">
            <v>.</v>
          </cell>
        </row>
        <row r="5">
          <cell r="C5" t="str">
            <v>Define value axis here:</v>
          </cell>
        </row>
        <row r="6">
          <cell r="C6" t="str">
            <v>US Hair Care Market Share ($) - 2008</v>
          </cell>
        </row>
        <row r="9">
          <cell r="D9">
            <v>0.40500000000000003</v>
          </cell>
        </row>
        <row r="10">
          <cell r="C10" t="str">
            <v>Input your data here:</v>
          </cell>
          <cell r="AW10" t="str">
            <v>.</v>
          </cell>
        </row>
        <row r="11">
          <cell r="C11" t="str">
            <v>Pantene Pro-V</v>
          </cell>
          <cell r="D11">
            <v>8.900000000000001E-2</v>
          </cell>
          <cell r="AW11" t="str">
            <v>.</v>
          </cell>
        </row>
        <row r="12">
          <cell r="C12" t="str">
            <v>Paul Mitchell</v>
          </cell>
          <cell r="D12">
            <v>4.5999999999999999E-2</v>
          </cell>
          <cell r="AW12" t="str">
            <v>.</v>
          </cell>
        </row>
        <row r="13">
          <cell r="C13" t="str">
            <v>Matrix</v>
          </cell>
          <cell r="D13">
            <v>4.4000000000000004E-2</v>
          </cell>
          <cell r="AW13" t="str">
            <v>.</v>
          </cell>
        </row>
        <row r="14">
          <cell r="C14" t="str">
            <v>Garnier Fructis</v>
          </cell>
          <cell r="D14">
            <v>0.04</v>
          </cell>
          <cell r="AW14" t="str">
            <v>.</v>
          </cell>
        </row>
        <row r="15">
          <cell r="C15" t="str">
            <v>Head &amp; Shoulders</v>
          </cell>
          <cell r="D15">
            <v>3.7999999999999999E-2</v>
          </cell>
          <cell r="AW15" t="str">
            <v>.</v>
          </cell>
        </row>
        <row r="16">
          <cell r="C16" t="str">
            <v>Suave</v>
          </cell>
          <cell r="D16">
            <v>3.7999999999999999E-2</v>
          </cell>
          <cell r="AW16" t="str">
            <v>.</v>
          </cell>
        </row>
        <row r="17">
          <cell r="C17" t="str">
            <v>Clairol Herbal Essences</v>
          </cell>
          <cell r="D17">
            <v>3.2000000000000001E-2</v>
          </cell>
          <cell r="AW17" t="str">
            <v>.</v>
          </cell>
        </row>
        <row r="18">
          <cell r="C18" t="str">
            <v>TRESemmé</v>
          </cell>
          <cell r="D18">
            <v>2.7000000000000003E-2</v>
          </cell>
          <cell r="AW18" t="str">
            <v>.</v>
          </cell>
        </row>
        <row r="19">
          <cell r="C19" t="str">
            <v>Redken</v>
          </cell>
          <cell r="D19">
            <v>2.6000000000000002E-2</v>
          </cell>
          <cell r="AW19" t="str">
            <v>.</v>
          </cell>
        </row>
        <row r="20">
          <cell r="C20" t="str">
            <v>Aveda</v>
          </cell>
          <cell r="D20">
            <v>2.5000000000000001E-2</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5">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Organic Sales Growth</v>
          </cell>
          <cell r="AD8">
            <v>0</v>
          </cell>
        </row>
        <row r="10">
          <cell r="C10" t="str">
            <v>Input your data here:</v>
          </cell>
          <cell r="BC10" t="str">
            <v>.</v>
          </cell>
        </row>
        <row r="11">
          <cell r="D11" t="str">
            <v>Organic Sales Growth</v>
          </cell>
          <cell r="E11" t="str">
            <v>Two-Year Average Organic Sales Growth</v>
          </cell>
          <cell r="BC11" t="str">
            <v>.</v>
          </cell>
        </row>
        <row r="12">
          <cell r="C12" t="str">
            <v>3Q08</v>
          </cell>
          <cell r="D12">
            <v>0.11276086568578593</v>
          </cell>
          <cell r="E12">
            <v>9.7880432842892967E-2</v>
          </cell>
        </row>
        <row r="13">
          <cell r="C13" t="str">
            <v>4Q08</v>
          </cell>
          <cell r="D13">
            <v>8.4029631627084642E-2</v>
          </cell>
          <cell r="E13">
            <v>0.10501481581354233</v>
          </cell>
        </row>
        <row r="14">
          <cell r="C14" t="str">
            <v>1Q09</v>
          </cell>
          <cell r="D14">
            <v>9.5110039133183888E-2</v>
          </cell>
          <cell r="E14">
            <v>0.10449780659141709</v>
          </cell>
          <cell r="BC14" t="str">
            <v>.</v>
          </cell>
        </row>
        <row r="15">
          <cell r="C15" t="str">
            <v>2Q09</v>
          </cell>
          <cell r="D15">
            <v>6.2582578877919792E-2</v>
          </cell>
          <cell r="E15">
            <v>4.8683710858969977E-2</v>
          </cell>
          <cell r="BC15" t="str">
            <v>.</v>
          </cell>
        </row>
        <row r="16">
          <cell r="C16" t="str">
            <v>3Q09</v>
          </cell>
          <cell r="D16">
            <v>1.9580360250251401E-2</v>
          </cell>
          <cell r="E16">
            <v>6.6170612968018669E-2</v>
          </cell>
          <cell r="BC16" t="str">
            <v>.</v>
          </cell>
        </row>
        <row r="17">
          <cell r="C17" t="str">
            <v>4Q09</v>
          </cell>
          <cell r="D17">
            <v>2.693775438032895E-2</v>
          </cell>
          <cell r="E17">
            <v>5.5483693003706799E-2</v>
          </cell>
          <cell r="BC17" t="str">
            <v>.</v>
          </cell>
        </row>
        <row r="18">
          <cell r="C18" t="str">
            <v>1Q10</v>
          </cell>
          <cell r="D18">
            <v>-2.8961494640541985E-4</v>
          </cell>
          <cell r="E18">
            <v>4.7410212093389234E-2</v>
          </cell>
          <cell r="BC18" t="str">
            <v>.</v>
          </cell>
        </row>
        <row r="19">
          <cell r="C19" t="str">
            <v>2Q10</v>
          </cell>
          <cell r="D19">
            <v>1.154062939256293E-2</v>
          </cell>
          <cell r="E19">
            <v>3.7061604135241358E-2</v>
          </cell>
          <cell r="BC19" t="str">
            <v>.</v>
          </cell>
        </row>
        <row r="20">
          <cell r="C20" t="str">
            <v>3Q10</v>
          </cell>
          <cell r="D20">
            <v>0.10658442991499424</v>
          </cell>
          <cell r="E20">
            <v>6.3082395082622825E-2</v>
          </cell>
          <cell r="BC20" t="str">
            <v>.</v>
          </cell>
        </row>
        <row r="21">
          <cell r="E21">
            <v>332.13756903155951</v>
          </cell>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G43" t="str">
            <v>Do not change the width of the exhibit or font sizes (they are optimized for export to Word).</v>
          </cell>
          <cell r="BC43" t="str">
            <v>.</v>
          </cell>
        </row>
        <row r="44">
          <cell r="G44" t="str">
            <v>Do not change the width of the exhibit or font sizes (they are optimized for export to Word).</v>
          </cell>
          <cell r="BC44" t="str">
            <v>.</v>
          </cell>
        </row>
        <row r="45">
          <cell r="G45" t="str">
            <v>Do not delete any rows or columns (some gray cells are used for calculations).</v>
          </cell>
          <cell r="BC45" t="str">
            <v>.</v>
          </cell>
        </row>
        <row r="46">
          <cell r="G46" t="str">
            <v>Do not delete any rows or columns (some gray cells are used for calculations).</v>
          </cell>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row r="999">
          <cell r="A999" t="str">
            <v>.</v>
          </cell>
          <cell r="B999" t="str">
            <v>.</v>
          </cell>
          <cell r="C999" t="str">
            <v>.</v>
          </cell>
          <cell r="D999" t="str">
            <v>.</v>
          </cell>
          <cell r="E999" t="str">
            <v>.</v>
          </cell>
          <cell r="F999" t="str">
            <v>.</v>
          </cell>
          <cell r="Q999" t="str">
            <v>.</v>
          </cell>
          <cell r="R999" t="str">
            <v>.</v>
          </cell>
          <cell r="S999" t="str">
            <v>.</v>
          </cell>
          <cell r="T999" t="str">
            <v>.</v>
          </cell>
          <cell r="U999" t="str">
            <v>.</v>
          </cell>
          <cell r="V999" t="str">
            <v>.</v>
          </cell>
          <cell r="Z999" t="str">
            <v>.</v>
          </cell>
          <cell r="AB999" t="str">
            <v>.</v>
          </cell>
          <cell r="AC999" t="str">
            <v>.</v>
          </cell>
          <cell r="AD999" t="str">
            <v>.</v>
          </cell>
          <cell r="AE999" t="str">
            <v>.</v>
          </cell>
          <cell r="AF999" t="str">
            <v>.</v>
          </cell>
          <cell r="AG999" t="str">
            <v>.</v>
          </cell>
          <cell r="AH999" t="str">
            <v>.</v>
          </cell>
          <cell r="AI999" t="str">
            <v>.</v>
          </cell>
          <cell r="AJ999" t="str">
            <v>.</v>
          </cell>
          <cell r="AK999" t="str">
            <v>.</v>
          </cell>
          <cell r="AL999" t="str">
            <v>.</v>
          </cell>
          <cell r="AM999" t="str">
            <v>.</v>
          </cell>
          <cell r="AN999" t="str">
            <v>.</v>
          </cell>
          <cell r="AO999" t="str">
            <v>.</v>
          </cell>
          <cell r="AP999" t="str">
            <v>.</v>
          </cell>
          <cell r="AQ999" t="str">
            <v>.</v>
          </cell>
          <cell r="AR999" t="str">
            <v>.</v>
          </cell>
          <cell r="AS999" t="str">
            <v>.</v>
          </cell>
          <cell r="AT999" t="str">
            <v>.</v>
          </cell>
          <cell r="AU999" t="str">
            <v>.</v>
          </cell>
          <cell r="AV999" t="str">
            <v>.</v>
          </cell>
          <cell r="AW999" t="str">
            <v>.</v>
          </cell>
          <cell r="AX999" t="str">
            <v>.</v>
          </cell>
          <cell r="AY999" t="str">
            <v>.</v>
          </cell>
          <cell r="AZ999" t="str">
            <v>.</v>
          </cell>
          <cell r="BA999" t="str">
            <v>.</v>
          </cell>
          <cell r="BB999" t="str">
            <v>.</v>
          </cell>
          <cell r="BC999" t="str">
            <v>.</v>
          </cell>
        </row>
        <row r="1000">
          <cell r="A1000" t="str">
            <v>.</v>
          </cell>
          <cell r="B1000" t="str">
            <v>.</v>
          </cell>
          <cell r="C1000" t="str">
            <v>.</v>
          </cell>
          <cell r="D1000" t="str">
            <v>.</v>
          </cell>
          <cell r="E1000" t="str">
            <v>.</v>
          </cell>
          <cell r="F1000" t="str">
            <v>.</v>
          </cell>
          <cell r="Q1000" t="str">
            <v>.</v>
          </cell>
          <cell r="R1000" t="str">
            <v>.</v>
          </cell>
          <cell r="S1000" t="str">
            <v>.</v>
          </cell>
          <cell r="T1000" t="str">
            <v>.</v>
          </cell>
          <cell r="U1000" t="str">
            <v>.</v>
          </cell>
          <cell r="V1000" t="str">
            <v>.</v>
          </cell>
          <cell r="Z1000" t="str">
            <v>.</v>
          </cell>
          <cell r="AB1000" t="str">
            <v>.</v>
          </cell>
          <cell r="AC1000" t="str">
            <v>.</v>
          </cell>
          <cell r="AD1000" t="str">
            <v>.</v>
          </cell>
          <cell r="AE1000" t="str">
            <v>.</v>
          </cell>
          <cell r="AF1000" t="str">
            <v>.</v>
          </cell>
          <cell r="AG1000" t="str">
            <v>.</v>
          </cell>
          <cell r="AH1000" t="str">
            <v>.</v>
          </cell>
          <cell r="AI1000" t="str">
            <v>.</v>
          </cell>
          <cell r="AJ1000" t="str">
            <v>.</v>
          </cell>
          <cell r="AK1000" t="str">
            <v>.</v>
          </cell>
          <cell r="AL1000" t="str">
            <v>.</v>
          </cell>
          <cell r="AM1000" t="str">
            <v>.</v>
          </cell>
          <cell r="AN1000" t="str">
            <v>.</v>
          </cell>
          <cell r="AO1000" t="str">
            <v>.</v>
          </cell>
          <cell r="AP1000" t="str">
            <v>.</v>
          </cell>
          <cell r="AQ1000" t="str">
            <v>.</v>
          </cell>
          <cell r="AR1000" t="str">
            <v>.</v>
          </cell>
          <cell r="AS1000" t="str">
            <v>.</v>
          </cell>
          <cell r="AT1000" t="str">
            <v>.</v>
          </cell>
          <cell r="AU1000" t="str">
            <v>.</v>
          </cell>
          <cell r="AV1000" t="str">
            <v>.</v>
          </cell>
          <cell r="AW1000" t="str">
            <v>.</v>
          </cell>
          <cell r="AX1000" t="str">
            <v>.</v>
          </cell>
          <cell r="AY1000" t="str">
            <v>.</v>
          </cell>
          <cell r="AZ1000" t="str">
            <v>.</v>
          </cell>
          <cell r="BA1000" t="str">
            <v>.</v>
          </cell>
          <cell r="BB1000" t="str">
            <v>.</v>
          </cell>
          <cell r="BC1000" t="str">
            <v>.</v>
          </cell>
        </row>
      </sheetData>
      <sheetData sheetId="6">
        <row r="1">
          <cell r="N1" t="str">
            <v>SmartCharts</v>
          </cell>
          <cell r="AW1" t="str">
            <v>.</v>
          </cell>
        </row>
        <row r="2">
          <cell r="AW2" t="str">
            <v>.</v>
          </cell>
        </row>
        <row r="3">
          <cell r="AW3" t="str">
            <v>.</v>
          </cell>
        </row>
        <row r="4">
          <cell r="AW4" t="str">
            <v>.</v>
          </cell>
        </row>
        <row r="5">
          <cell r="C5" t="str">
            <v>Define value axis here:</v>
          </cell>
        </row>
        <row r="6">
          <cell r="C6" t="str">
            <v>Two-Year Average YoY Organic Sales Growth</v>
          </cell>
        </row>
        <row r="9">
          <cell r="D9">
            <v>7.5020183453133868E-2</v>
          </cell>
        </row>
        <row r="10">
          <cell r="C10" t="str">
            <v>Input your data here:</v>
          </cell>
          <cell r="AW10" t="str">
            <v>.</v>
          </cell>
        </row>
        <row r="11">
          <cell r="C11" t="str">
            <v>3Q08</v>
          </cell>
          <cell r="D11">
            <v>9.7880432842892967E-2</v>
          </cell>
        </row>
        <row r="12">
          <cell r="C12" t="str">
            <v>4Q08</v>
          </cell>
          <cell r="D12">
            <v>0.10501481581354233</v>
          </cell>
          <cell r="AW12" t="str">
            <v>.</v>
          </cell>
        </row>
        <row r="13">
          <cell r="C13" t="str">
            <v>1Q09</v>
          </cell>
          <cell r="D13">
            <v>0.10449780659141709</v>
          </cell>
          <cell r="AW13" t="str">
            <v>.</v>
          </cell>
        </row>
        <row r="14">
          <cell r="C14" t="str">
            <v>2Q09</v>
          </cell>
          <cell r="D14">
            <v>4.8683710858969977E-2</v>
          </cell>
          <cell r="AW14" t="str">
            <v>.</v>
          </cell>
        </row>
        <row r="15">
          <cell r="C15" t="str">
            <v>3Q09</v>
          </cell>
          <cell r="D15">
            <v>6.6170612968018669E-2</v>
          </cell>
          <cell r="AW15" t="str">
            <v>.</v>
          </cell>
        </row>
        <row r="16">
          <cell r="C16" t="str">
            <v>4Q09</v>
          </cell>
          <cell r="D16">
            <v>5.5483693003706799E-2</v>
          </cell>
          <cell r="AW16" t="str">
            <v>.</v>
          </cell>
        </row>
        <row r="17">
          <cell r="C17" t="str">
            <v>1Q10</v>
          </cell>
          <cell r="D17">
            <v>4.7410212093389234E-2</v>
          </cell>
          <cell r="AW17" t="str">
            <v>.</v>
          </cell>
        </row>
        <row r="18">
          <cell r="C18" t="str">
            <v>2010e</v>
          </cell>
          <cell r="D18">
            <v>4.6513096416965265E-2</v>
          </cell>
          <cell r="AW18" t="str">
            <v>.</v>
          </cell>
        </row>
        <row r="19">
          <cell r="C19" t="str">
            <v>2011e</v>
          </cell>
          <cell r="D19">
            <v>4.4756817192740279E-2</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7">
        <row r="2">
          <cell r="B2" t="str">
            <v xml:space="preserve">Fiscal Q309 Conference Call (July 27, 2009): </v>
          </cell>
        </row>
        <row r="3">
          <cell r="B3" t="str">
            <v>“Well, we continue to prioritize acquisitions as the number one place we would go to with our cash, and that hasn’t changed. We have been authorized to purchase an additional 5.8 million shares. That’s been the status quo for quite some time. I think as you know that when the market went a bit sideways, we called a bit of a time-out on that. But certainly that’s still an opportunity for us with respect to use of cash, and that hasn’t changed. So those two are the primary uses." (Jim Marino, CEO)</v>
          </cell>
        </row>
        <row r="4">
          <cell r="B4" t="str">
            <v xml:space="preserve">MS Household Products &amp; Personal Care CEO Conference Call Series (August 25, 2009): </v>
          </cell>
        </row>
        <row r="5">
          <cell r="B5" t="str">
            <v>"(We are) more focused on acquisitions than share repurchases, (we are) not considering a one-time dividend type move, but we have the flexibility...to make smart acquisitions and repurchase shares over time, so you should expect in your thinking and modeling that we'll be doing that." (Ralph Nicoletti, CFO)</v>
          </cell>
        </row>
      </sheetData>
      <sheetData sheetId="8">
        <row r="2">
          <cell r="I2" t="str">
            <v>Deal Multiple</v>
          </cell>
        </row>
        <row r="3">
          <cell r="B3" t="str">
            <v>Date</v>
          </cell>
          <cell r="C3" t="str">
            <v>Acquirer</v>
          </cell>
          <cell r="D3" t="str">
            <v>Acquiree</v>
          </cell>
          <cell r="E3" t="str">
            <v>Target</v>
          </cell>
          <cell r="F3" t="str">
            <v>Ccy</v>
          </cell>
          <cell r="G3" t="str">
            <v>Value m</v>
          </cell>
          <cell r="I3" t="str">
            <v>Sales</v>
          </cell>
          <cell r="J3" t="str">
            <v>EBITDA</v>
          </cell>
          <cell r="K3" t="str">
            <v>EBIT x</v>
          </cell>
          <cell r="L3" t="str">
            <v>Comment</v>
          </cell>
        </row>
        <row r="4">
          <cell r="B4">
            <v>40193</v>
          </cell>
          <cell r="C4" t="str">
            <v>Shiseido</v>
          </cell>
          <cell r="D4" t="str">
            <v>Bare Escentuals</v>
          </cell>
          <cell r="E4" t="str">
            <v xml:space="preserve">S.C. Johnson* </v>
          </cell>
          <cell r="F4" t="str">
            <v>US$</v>
          </cell>
          <cell r="G4">
            <v>275</v>
          </cell>
          <cell r="I4">
            <v>3.1</v>
          </cell>
          <cell r="J4">
            <v>9.6</v>
          </cell>
          <cell r="L4" t="str">
            <v>Men (Edge) and Women's (skintimate) shaving brands</v>
          </cell>
        </row>
        <row r="5">
          <cell r="B5">
            <v>40168</v>
          </cell>
          <cell r="C5" t="str">
            <v>Sanofi-Aventis</v>
          </cell>
          <cell r="D5" t="str">
            <v>Chattem</v>
          </cell>
          <cell r="E5" t="str">
            <v>Playtex</v>
          </cell>
          <cell r="F5" t="str">
            <v>US$</v>
          </cell>
          <cell r="G5">
            <v>1900</v>
          </cell>
          <cell r="I5">
            <v>4.7</v>
          </cell>
          <cell r="J5">
            <v>12.5</v>
          </cell>
          <cell r="L5" t="str">
            <v>Skin care, feminine care, infant care</v>
          </cell>
        </row>
        <row r="6">
          <cell r="B6">
            <v>40161</v>
          </cell>
          <cell r="C6" t="str">
            <v>Alberto-Culver</v>
          </cell>
          <cell r="D6" t="str">
            <v>Simple Health &amp; Beauty</v>
          </cell>
          <cell r="E6" t="str">
            <v>Pfizer/J&amp;J OTC</v>
          </cell>
          <cell r="F6" t="str">
            <v>US$</v>
          </cell>
          <cell r="G6">
            <v>410</v>
          </cell>
          <cell r="I6">
            <v>3.7</v>
          </cell>
          <cell r="J6">
            <v>11</v>
          </cell>
          <cell r="L6" t="str">
            <v>Act, Unisom, Cortizone, Balmex, Kaopectate</v>
          </cell>
        </row>
        <row r="7">
          <cell r="B7">
            <v>39944</v>
          </cell>
          <cell r="C7" t="str">
            <v>Energizer</v>
          </cell>
          <cell r="D7" t="str">
            <v>Edge, Skintimate</v>
          </cell>
          <cell r="E7" t="str">
            <v xml:space="preserve">S.C. Johnson* </v>
          </cell>
          <cell r="F7" t="str">
            <v>US$</v>
          </cell>
          <cell r="G7">
            <v>275</v>
          </cell>
          <cell r="I7">
            <v>1.4864864864864864</v>
          </cell>
          <cell r="J7" t="str">
            <v>-</v>
          </cell>
          <cell r="L7" t="str">
            <v>Men (Edge) and Women's (skintimate) shaving brands</v>
          </cell>
        </row>
        <row r="8">
          <cell r="B8">
            <v>39356</v>
          </cell>
          <cell r="C8" t="str">
            <v>Energizer</v>
          </cell>
          <cell r="D8" t="str">
            <v>Playtex</v>
          </cell>
          <cell r="E8" t="str">
            <v>Playtex</v>
          </cell>
          <cell r="F8" t="str">
            <v>US$</v>
          </cell>
          <cell r="G8">
            <v>1900</v>
          </cell>
          <cell r="I8">
            <v>2.4</v>
          </cell>
          <cell r="J8">
            <v>11.9</v>
          </cell>
          <cell r="L8" t="str">
            <v>Skin care, feminine care, infant care</v>
          </cell>
        </row>
        <row r="9">
          <cell r="B9" t="str">
            <v>Dec-06</v>
          </cell>
          <cell r="C9" t="str">
            <v>Chattem</v>
          </cell>
          <cell r="D9" t="str">
            <v>Pfizer/J&amp;J OTC</v>
          </cell>
          <cell r="E9" t="str">
            <v>Pfizer/J&amp;J OTC</v>
          </cell>
          <cell r="F9" t="str">
            <v>US$</v>
          </cell>
          <cell r="G9">
            <v>410</v>
          </cell>
          <cell r="I9">
            <v>3.6</v>
          </cell>
          <cell r="J9">
            <v>9.4</v>
          </cell>
          <cell r="K9">
            <v>17.899999999999999</v>
          </cell>
          <cell r="L9" t="str">
            <v>Act, Unisom, Cortizone, Balmex, Kaopectate</v>
          </cell>
        </row>
        <row r="10">
          <cell r="B10" t="str">
            <v>Jun-06</v>
          </cell>
          <cell r="C10" t="str">
            <v>J&amp;J</v>
          </cell>
          <cell r="D10" t="str">
            <v>Pfizer OTC</v>
          </cell>
          <cell r="E10" t="str">
            <v>Pfizer OTC</v>
          </cell>
          <cell r="F10" t="str">
            <v>US$</v>
          </cell>
          <cell r="G10">
            <v>16600</v>
          </cell>
          <cell r="I10">
            <v>4.2</v>
          </cell>
          <cell r="J10" t="str">
            <v>-</v>
          </cell>
          <cell r="L10" t="str">
            <v>Personal care and OTC products (Listerine)</v>
          </cell>
        </row>
        <row r="11">
          <cell r="B11" t="str">
            <v>Mar-06</v>
          </cell>
          <cell r="C11" t="str">
            <v>Colgate</v>
          </cell>
          <cell r="D11" t="str">
            <v xml:space="preserve">Tom's of Maine </v>
          </cell>
          <cell r="E11" t="str">
            <v xml:space="preserve">Tom's of Maine </v>
          </cell>
          <cell r="F11" t="str">
            <v>US$</v>
          </cell>
          <cell r="G11">
            <v>100</v>
          </cell>
          <cell r="I11">
            <v>2</v>
          </cell>
          <cell r="J11" t="str">
            <v>-</v>
          </cell>
          <cell r="K11">
            <v>19.100000000000001</v>
          </cell>
          <cell r="L11" t="str">
            <v>Manufacturer of natural toothpaste, mouthwash &amp; deodorant</v>
          </cell>
        </row>
        <row r="12">
          <cell r="B12" t="str">
            <v>Mar-06</v>
          </cell>
          <cell r="C12" t="str">
            <v>L'Oreal</v>
          </cell>
          <cell r="D12" t="str">
            <v>Body Shop Intl</v>
          </cell>
          <cell r="E12" t="str">
            <v>Body Shop Intl</v>
          </cell>
          <cell r="F12" t="str">
            <v>€</v>
          </cell>
          <cell r="G12">
            <v>1236</v>
          </cell>
          <cell r="I12">
            <v>1.5</v>
          </cell>
          <cell r="J12">
            <v>11.6</v>
          </cell>
          <cell r="K12">
            <v>17.899999999999999</v>
          </cell>
          <cell r="L12" t="str">
            <v>Retailer with natural-based products</v>
          </cell>
        </row>
        <row r="13">
          <cell r="B13" t="str">
            <v>Dec-05</v>
          </cell>
          <cell r="C13" t="str">
            <v>Kao</v>
          </cell>
          <cell r="D13" t="str">
            <v>Kanebo Cosmetics Inc</v>
          </cell>
          <cell r="E13" t="str">
            <v>Kanebo Cosmetics Inc</v>
          </cell>
          <cell r="G13">
            <v>3581</v>
          </cell>
          <cell r="I13">
            <v>2.1</v>
          </cell>
          <cell r="J13" t="str">
            <v>-</v>
          </cell>
          <cell r="K13" t="str">
            <v>n/a</v>
          </cell>
          <cell r="L13" t="str">
            <v>Main comsmetics and skin care manufacturer in Japan</v>
          </cell>
        </row>
        <row r="14">
          <cell r="B14" t="str">
            <v>Oct-05</v>
          </cell>
          <cell r="C14" t="str">
            <v>Reckitt Benckiser</v>
          </cell>
          <cell r="D14" t="str">
            <v>BHI</v>
          </cell>
          <cell r="E14" t="str">
            <v>BHI</v>
          </cell>
          <cell r="F14" t="str">
            <v>£</v>
          </cell>
          <cell r="G14">
            <v>1926</v>
          </cell>
          <cell r="I14">
            <v>3.3</v>
          </cell>
          <cell r="J14">
            <v>16</v>
          </cell>
          <cell r="K14">
            <v>19.100000000000001</v>
          </cell>
          <cell r="L14" t="str">
            <v>OTC portfolio (Neurofen, Strepsils, Clearasil)</v>
          </cell>
        </row>
        <row r="15">
          <cell r="B15" t="str">
            <v>Jul-05</v>
          </cell>
          <cell r="C15" t="str">
            <v>Kao</v>
          </cell>
          <cell r="D15" t="str">
            <v>Molton Brown Ltd</v>
          </cell>
          <cell r="E15" t="str">
            <v>Molton Brown Ltd</v>
          </cell>
          <cell r="F15" t="str">
            <v>£</v>
          </cell>
          <cell r="G15">
            <v>170</v>
          </cell>
          <cell r="I15">
            <v>3.5</v>
          </cell>
          <cell r="J15">
            <v>17.600000000000001</v>
          </cell>
          <cell r="K15">
            <v>298.5</v>
          </cell>
          <cell r="L15" t="str">
            <v>Manufacturing, wholesaling &amp; retailing luxury lifestyle products</v>
          </cell>
        </row>
        <row r="16">
          <cell r="B16" t="str">
            <v>May-05</v>
          </cell>
          <cell r="C16" t="str">
            <v>Loreal</v>
          </cell>
          <cell r="D16" t="str">
            <v>SkinCeuticals Inc</v>
          </cell>
          <cell r="E16" t="str">
            <v>SkinCeuticals Inc</v>
          </cell>
          <cell r="F16" t="str">
            <v>US$</v>
          </cell>
          <cell r="G16">
            <v>150</v>
          </cell>
          <cell r="I16">
            <v>4.3</v>
          </cell>
          <cell r="J16" t="str">
            <v>-</v>
          </cell>
          <cell r="K16">
            <v>16</v>
          </cell>
          <cell r="L16" t="str">
            <v>Specialist skin care brand</v>
          </cell>
        </row>
        <row r="17">
          <cell r="B17" t="str">
            <v>Jan-05</v>
          </cell>
          <cell r="C17" t="str">
            <v>P &amp; G</v>
          </cell>
          <cell r="D17" t="str">
            <v>Gillette</v>
          </cell>
          <cell r="E17" t="str">
            <v>Gillette</v>
          </cell>
          <cell r="F17" t="str">
            <v>US$</v>
          </cell>
          <cell r="G17">
            <v>57602</v>
          </cell>
          <cell r="I17">
            <v>5.8</v>
          </cell>
          <cell r="J17">
            <v>19.2</v>
          </cell>
          <cell r="K17">
            <v>23.4</v>
          </cell>
          <cell r="L17" t="str">
            <v>Personal Care, Shaving Products and Oral</v>
          </cell>
        </row>
        <row r="18">
          <cell r="B18" t="str">
            <v>Jul-04</v>
          </cell>
          <cell r="C18" t="str">
            <v>Kelso</v>
          </cell>
          <cell r="D18" t="str">
            <v>Del Labs</v>
          </cell>
          <cell r="E18" t="str">
            <v>Del Labs</v>
          </cell>
          <cell r="F18" t="str">
            <v>US$</v>
          </cell>
          <cell r="G18">
            <v>465</v>
          </cell>
          <cell r="I18">
            <v>1.2</v>
          </cell>
          <cell r="J18">
            <v>12.4</v>
          </cell>
          <cell r="K18">
            <v>16</v>
          </cell>
          <cell r="L18" t="str">
            <v>Cosmetic &amp; OTC pharmaceuticals</v>
          </cell>
        </row>
        <row r="19">
          <cell r="B19" t="str">
            <v>Jan-04</v>
          </cell>
          <cell r="C19" t="str">
            <v>L’Oréal</v>
          </cell>
          <cell r="D19" t="str">
            <v>Mininurse/YueSai</v>
          </cell>
          <cell r="E19" t="str">
            <v>Mininurse/YueSai</v>
          </cell>
          <cell r="F19" t="str">
            <v>€</v>
          </cell>
          <cell r="G19">
            <v>465</v>
          </cell>
          <cell r="I19">
            <v>6</v>
          </cell>
          <cell r="J19" t="str">
            <v>-</v>
          </cell>
          <cell r="K19">
            <v>40</v>
          </cell>
          <cell r="L19" t="str">
            <v>China make-up / skincare</v>
          </cell>
        </row>
        <row r="20">
          <cell r="B20" t="str">
            <v xml:space="preserve">  Median Average</v>
          </cell>
          <cell r="I20">
            <v>3.4</v>
          </cell>
          <cell r="J20">
            <v>12.15</v>
          </cell>
        </row>
        <row r="21">
          <cell r="B21" t="str">
            <v>(Edge and Skintimate brands only)</v>
          </cell>
        </row>
        <row r="22">
          <cell r="M22">
            <v>3.3054054054054052</v>
          </cell>
          <cell r="N22">
            <v>13.12</v>
          </cell>
        </row>
        <row r="23">
          <cell r="I23" t="str">
            <v>Deal Multiple</v>
          </cell>
        </row>
        <row r="24">
          <cell r="B24" t="str">
            <v>Date</v>
          </cell>
          <cell r="C24" t="str">
            <v>Acquirer</v>
          </cell>
          <cell r="D24" t="str">
            <v>Acquiree</v>
          </cell>
          <cell r="E24" t="str">
            <v>Target</v>
          </cell>
          <cell r="F24" t="str">
            <v>Ccy</v>
          </cell>
          <cell r="G24" t="str">
            <v>Value m</v>
          </cell>
          <cell r="I24" t="str">
            <v>Sales</v>
          </cell>
          <cell r="J24" t="str">
            <v>EBITDA</v>
          </cell>
        </row>
        <row r="25">
          <cell r="B25">
            <v>40193</v>
          </cell>
          <cell r="C25" t="str">
            <v>Shiseido</v>
          </cell>
          <cell r="D25" t="str">
            <v>Bare Escentuals</v>
          </cell>
          <cell r="I25">
            <v>3.1</v>
          </cell>
          <cell r="J25">
            <v>9.6</v>
          </cell>
        </row>
        <row r="26">
          <cell r="B26">
            <v>40161</v>
          </cell>
          <cell r="C26" t="str">
            <v>Alberto-Culver</v>
          </cell>
          <cell r="D26" t="str">
            <v>Simple Health &amp; Beauty</v>
          </cell>
          <cell r="I26">
            <v>3.7</v>
          </cell>
          <cell r="J26">
            <v>11</v>
          </cell>
        </row>
        <row r="27">
          <cell r="B27">
            <v>39944</v>
          </cell>
          <cell r="C27" t="str">
            <v>Energizer</v>
          </cell>
          <cell r="D27" t="str">
            <v>Edge, Skintimate</v>
          </cell>
          <cell r="E27" t="str">
            <v xml:space="preserve">S.C. Johnson* </v>
          </cell>
          <cell r="F27" t="str">
            <v>US$</v>
          </cell>
          <cell r="G27">
            <v>275</v>
          </cell>
          <cell r="I27">
            <v>1.4864864864864864</v>
          </cell>
          <cell r="J27" t="str">
            <v>-</v>
          </cell>
        </row>
        <row r="28">
          <cell r="B28">
            <v>39356</v>
          </cell>
          <cell r="C28" t="str">
            <v>Energizer</v>
          </cell>
          <cell r="D28" t="str">
            <v>Playtex</v>
          </cell>
          <cell r="E28" t="str">
            <v>Playtex</v>
          </cell>
          <cell r="F28" t="str">
            <v>US$</v>
          </cell>
          <cell r="G28">
            <v>1900</v>
          </cell>
          <cell r="I28">
            <v>2.4</v>
          </cell>
          <cell r="J28">
            <v>11.9</v>
          </cell>
        </row>
        <row r="29">
          <cell r="B29" t="str">
            <v>Dec-06</v>
          </cell>
          <cell r="C29" t="str">
            <v>Chattem</v>
          </cell>
          <cell r="D29" t="str">
            <v>Pfizer/J&amp;J OTC</v>
          </cell>
          <cell r="E29" t="str">
            <v>Pfizer/J&amp;J OTC</v>
          </cell>
          <cell r="F29" t="str">
            <v>US$</v>
          </cell>
          <cell r="G29">
            <v>410</v>
          </cell>
          <cell r="I29">
            <v>3.6</v>
          </cell>
          <cell r="J29">
            <v>9.4</v>
          </cell>
        </row>
        <row r="30">
          <cell r="B30" t="str">
            <v>Jun-06</v>
          </cell>
          <cell r="C30" t="str">
            <v>J&amp;J</v>
          </cell>
          <cell r="D30" t="str">
            <v>Pfizer OTC</v>
          </cell>
          <cell r="E30" t="str">
            <v>Pfizer OTC</v>
          </cell>
          <cell r="F30" t="str">
            <v>US$</v>
          </cell>
          <cell r="G30">
            <v>16600</v>
          </cell>
          <cell r="I30">
            <v>4.2</v>
          </cell>
          <cell r="J30" t="str">
            <v>-</v>
          </cell>
        </row>
        <row r="31">
          <cell r="B31" t="str">
            <v>Mar-06</v>
          </cell>
          <cell r="C31" t="str">
            <v>Colgate</v>
          </cell>
          <cell r="D31" t="str">
            <v xml:space="preserve">Tom's of Maine </v>
          </cell>
          <cell r="E31" t="str">
            <v xml:space="preserve">Tom's of Maine </v>
          </cell>
          <cell r="F31" t="str">
            <v>US$</v>
          </cell>
          <cell r="G31">
            <v>100</v>
          </cell>
          <cell r="I31">
            <v>2</v>
          </cell>
          <cell r="J31" t="str">
            <v>-</v>
          </cell>
        </row>
        <row r="32">
          <cell r="B32" t="str">
            <v>Mar-06</v>
          </cell>
          <cell r="C32" t="str">
            <v>L'Oreal</v>
          </cell>
          <cell r="D32" t="str">
            <v>Body Shop Intl</v>
          </cell>
          <cell r="E32" t="str">
            <v>Body Shop Intl</v>
          </cell>
          <cell r="F32" t="str">
            <v>€</v>
          </cell>
          <cell r="G32">
            <v>1236</v>
          </cell>
          <cell r="I32">
            <v>1.5</v>
          </cell>
          <cell r="J32">
            <v>11.6</v>
          </cell>
        </row>
        <row r="33">
          <cell r="B33" t="str">
            <v>Dec-05</v>
          </cell>
          <cell r="C33" t="str">
            <v>Kao</v>
          </cell>
          <cell r="D33" t="str">
            <v>Kanebo Cosmetics Inc</v>
          </cell>
          <cell r="E33" t="str">
            <v>Kanebo Cosmetics Inc</v>
          </cell>
          <cell r="G33">
            <v>3581</v>
          </cell>
          <cell r="I33">
            <v>2.1</v>
          </cell>
          <cell r="J33" t="str">
            <v>-</v>
          </cell>
        </row>
        <row r="34">
          <cell r="B34" t="str">
            <v>Oct-05</v>
          </cell>
          <cell r="C34" t="str">
            <v>Reckitt Benckiser</v>
          </cell>
          <cell r="D34" t="str">
            <v>BHI</v>
          </cell>
          <cell r="E34" t="str">
            <v>BHI</v>
          </cell>
          <cell r="F34" t="str">
            <v>£</v>
          </cell>
          <cell r="G34">
            <v>1926</v>
          </cell>
          <cell r="I34">
            <v>3.3</v>
          </cell>
          <cell r="J34">
            <v>16</v>
          </cell>
        </row>
        <row r="35">
          <cell r="B35" t="str">
            <v>Jul-05</v>
          </cell>
          <cell r="C35" t="str">
            <v>Kao</v>
          </cell>
          <cell r="D35" t="str">
            <v>Molton Brown Ltd</v>
          </cell>
          <cell r="E35" t="str">
            <v>Molton Brown Ltd</v>
          </cell>
          <cell r="F35" t="str">
            <v>£</v>
          </cell>
          <cell r="G35">
            <v>170</v>
          </cell>
          <cell r="I35">
            <v>3.5</v>
          </cell>
          <cell r="J35">
            <v>17.600000000000001</v>
          </cell>
        </row>
        <row r="36">
          <cell r="B36" t="str">
            <v>May-05</v>
          </cell>
          <cell r="C36" t="str">
            <v>Loreal</v>
          </cell>
          <cell r="D36" t="str">
            <v>SkinCeuticals Inc</v>
          </cell>
          <cell r="E36" t="str">
            <v>SkinCeuticals Inc</v>
          </cell>
          <cell r="F36" t="str">
            <v>US$</v>
          </cell>
          <cell r="G36">
            <v>150</v>
          </cell>
          <cell r="I36">
            <v>4.3</v>
          </cell>
          <cell r="J36" t="str">
            <v>-</v>
          </cell>
        </row>
        <row r="37">
          <cell r="B37" t="str">
            <v>Jan-05</v>
          </cell>
          <cell r="C37" t="str">
            <v>P &amp; G</v>
          </cell>
          <cell r="D37" t="str">
            <v>Gillette</v>
          </cell>
          <cell r="E37" t="str">
            <v>Gillette</v>
          </cell>
          <cell r="F37" t="str">
            <v>US$</v>
          </cell>
          <cell r="G37">
            <v>57602</v>
          </cell>
          <cell r="I37">
            <v>5.8</v>
          </cell>
          <cell r="J37">
            <v>19.2</v>
          </cell>
        </row>
        <row r="38">
          <cell r="B38" t="str">
            <v>Jul-04</v>
          </cell>
          <cell r="C38" t="str">
            <v>Kelso</v>
          </cell>
          <cell r="D38" t="str">
            <v>Del Labs</v>
          </cell>
          <cell r="E38" t="str">
            <v>Del Labs</v>
          </cell>
          <cell r="F38" t="str">
            <v>US$</v>
          </cell>
          <cell r="G38">
            <v>465</v>
          </cell>
          <cell r="I38">
            <v>1.2</v>
          </cell>
          <cell r="J38">
            <v>12.4</v>
          </cell>
        </row>
        <row r="39">
          <cell r="B39" t="str">
            <v>Jan-04</v>
          </cell>
          <cell r="C39" t="str">
            <v>L’Oréal</v>
          </cell>
          <cell r="D39" t="str">
            <v>Mininurse/YueSai</v>
          </cell>
          <cell r="E39" t="str">
            <v>Mininurse/YueSai</v>
          </cell>
          <cell r="F39" t="str">
            <v>€</v>
          </cell>
          <cell r="G39">
            <v>465</v>
          </cell>
          <cell r="I39">
            <v>6</v>
          </cell>
          <cell r="J39" t="str">
            <v>-</v>
          </cell>
        </row>
        <row r="40">
          <cell r="B40" t="str">
            <v xml:space="preserve">  Median Average</v>
          </cell>
          <cell r="I40">
            <v>3.3</v>
          </cell>
          <cell r="J40">
            <v>11.9</v>
          </cell>
        </row>
        <row r="41">
          <cell r="M41">
            <v>3.2124324324324323</v>
          </cell>
          <cell r="N41">
            <v>13.18888888888889</v>
          </cell>
        </row>
      </sheetData>
      <sheetData sheetId="9">
        <row r="1">
          <cell r="P1" t="str">
            <v>SmartCharts</v>
          </cell>
          <cell r="BA1" t="str">
            <v>.</v>
          </cell>
        </row>
        <row r="2">
          <cell r="BA2" t="str">
            <v>.</v>
          </cell>
        </row>
        <row r="3">
          <cell r="BA3" t="str">
            <v>.</v>
          </cell>
        </row>
        <row r="4">
          <cell r="BA4" t="str">
            <v>.</v>
          </cell>
        </row>
        <row r="5">
          <cell r="C5" t="str">
            <v>Define value axis here:</v>
          </cell>
        </row>
        <row r="6">
          <cell r="C6" t="str">
            <v>Alberto Culver Est. 5-Year Topline CAGR Ex-Key Brands</v>
          </cell>
        </row>
        <row r="9">
          <cell r="G9" t="str">
            <v xml:space="preserve">More than four series will make this </v>
          </cell>
        </row>
        <row r="10">
          <cell r="C10" t="str">
            <v>Input your data here:</v>
          </cell>
          <cell r="G10" t="str">
            <v>chart cluttered and too difficult to read.</v>
          </cell>
          <cell r="BA10" t="str">
            <v>.</v>
          </cell>
        </row>
        <row r="11">
          <cell r="BA11" t="str">
            <v>.</v>
          </cell>
        </row>
        <row r="12">
          <cell r="D12" t="str">
            <v>Total ACV</v>
          </cell>
          <cell r="E12" t="str">
            <v>Total ACV (ex-Nexxus)</v>
          </cell>
          <cell r="F12" t="str">
            <v>Total ACV (ex-Tresemme)</v>
          </cell>
          <cell r="G12" t="str">
            <v>Total ACV (ex-Nexxus and Tresemme)</v>
          </cell>
        </row>
        <row r="13">
          <cell r="D13">
            <v>6.7602442429305576E-2</v>
          </cell>
          <cell r="E13">
            <v>6.1554918265228631E-2</v>
          </cell>
          <cell r="F13">
            <v>2.8371943483858741E-2</v>
          </cell>
          <cell r="G13">
            <v>2.2324419319781796E-2</v>
          </cell>
        </row>
        <row r="14">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10">
        <row r="1">
          <cell r="P1" t="str">
            <v>SmartCharts</v>
          </cell>
          <cell r="BA1" t="str">
            <v>.</v>
          </cell>
        </row>
        <row r="2">
          <cell r="BA2" t="str">
            <v>.</v>
          </cell>
        </row>
        <row r="3">
          <cell r="BA3" t="str">
            <v>.</v>
          </cell>
        </row>
        <row r="4">
          <cell r="BA4" t="str">
            <v>.</v>
          </cell>
        </row>
        <row r="5">
          <cell r="C5" t="str">
            <v>Define value axis here:</v>
          </cell>
        </row>
        <row r="6">
          <cell r="C6" t="str">
            <v xml:space="preserve">NTM EPS Accretion (%) From Share Repurchases </v>
          </cell>
        </row>
        <row r="9">
          <cell r="G9" t="str">
            <v xml:space="preserve">More than four series will make this </v>
          </cell>
        </row>
        <row r="10">
          <cell r="C10" t="str">
            <v>Input your data here:</v>
          </cell>
          <cell r="G10" t="str">
            <v>chart cluttered and too difficult to read.</v>
          </cell>
          <cell r="BA10" t="str">
            <v>.</v>
          </cell>
        </row>
        <row r="11">
          <cell r="C11" t="str">
            <v>% of Cash Used</v>
          </cell>
          <cell r="D11" t="str">
            <v>Repurchased Evenly NTM</v>
          </cell>
          <cell r="E11" t="str">
            <v>Dutch Auction*</v>
          </cell>
          <cell r="BA11" t="str">
            <v>.</v>
          </cell>
        </row>
        <row r="12">
          <cell r="C12">
            <v>0.25</v>
          </cell>
          <cell r="D12">
            <v>1.0999999999999999E-2</v>
          </cell>
          <cell r="E12">
            <v>1.6E-2</v>
          </cell>
        </row>
        <row r="13">
          <cell r="C13">
            <v>0.5</v>
          </cell>
          <cell r="D13">
            <v>2.1000000000000001E-2</v>
          </cell>
          <cell r="E13">
            <v>3.2000000000000001E-2</v>
          </cell>
        </row>
        <row r="14">
          <cell r="C14">
            <v>0.75</v>
          </cell>
          <cell r="D14">
            <v>3.2000000000000001E-2</v>
          </cell>
          <cell r="E14">
            <v>0.05</v>
          </cell>
          <cell r="BA14" t="str">
            <v>.</v>
          </cell>
        </row>
        <row r="15">
          <cell r="C15">
            <v>1</v>
          </cell>
          <cell r="D15">
            <v>4.3999999999999997E-2</v>
          </cell>
          <cell r="E15">
            <v>6.8000000000000005E-2</v>
          </cell>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11">
        <row r="3">
          <cell r="B3" t="str">
            <v>Share Repurchase Analysis</v>
          </cell>
        </row>
        <row r="5">
          <cell r="B5" t="str">
            <v>% of Cash Used</v>
          </cell>
        </row>
        <row r="6">
          <cell r="B6" t="str">
            <v>% of Cash Balance Used for Repurchases</v>
          </cell>
          <cell r="C6">
            <v>0.25</v>
          </cell>
          <cell r="D6">
            <v>0.5</v>
          </cell>
          <cell r="E6">
            <v>0.75</v>
          </cell>
          <cell r="F6">
            <v>1</v>
          </cell>
        </row>
        <row r="7">
          <cell r="B7" t="str">
            <v xml:space="preserve">NTM EPS Accretion: </v>
          </cell>
        </row>
        <row r="8">
          <cell r="B8" t="str">
            <v>If repurchased evenly throughout the year</v>
          </cell>
          <cell r="C8">
            <v>0.02</v>
          </cell>
          <cell r="D8">
            <v>0.04</v>
          </cell>
          <cell r="E8">
            <v>0.06</v>
          </cell>
          <cell r="F8">
            <v>0.08</v>
          </cell>
        </row>
        <row r="9">
          <cell r="B9" t="str">
            <v>% accretion</v>
          </cell>
          <cell r="C9">
            <v>1.0999999999999999E-2</v>
          </cell>
          <cell r="D9">
            <v>2.1000000000000001E-2</v>
          </cell>
          <cell r="E9">
            <v>3.2000000000000001E-2</v>
          </cell>
          <cell r="F9">
            <v>4.3999999999999997E-2</v>
          </cell>
        </row>
        <row r="10">
          <cell r="B10" t="str">
            <v>Dutch auction - repurchased immediately*</v>
          </cell>
          <cell r="C10">
            <v>0.03</v>
          </cell>
          <cell r="D10">
            <v>0.06</v>
          </cell>
          <cell r="E10">
            <v>0.09</v>
          </cell>
          <cell r="F10">
            <v>0.12</v>
          </cell>
        </row>
        <row r="11">
          <cell r="B11" t="str">
            <v xml:space="preserve">% accretion </v>
          </cell>
          <cell r="C11">
            <v>1.6E-2</v>
          </cell>
          <cell r="D11">
            <v>3.2000000000000001E-2</v>
          </cell>
          <cell r="E11">
            <v>0.05</v>
          </cell>
          <cell r="F11">
            <v>6.8000000000000005E-2</v>
          </cell>
        </row>
        <row r="12">
          <cell r="B12" t="str">
            <v xml:space="preserve">*Repurchased at 10% above closing stock price. </v>
          </cell>
        </row>
      </sheetData>
      <sheetData sheetId="12">
        <row r="1">
          <cell r="N1" t="str">
            <v>SmartCharts</v>
          </cell>
          <cell r="AW1" t="str">
            <v>.</v>
          </cell>
        </row>
        <row r="2">
          <cell r="AW2" t="str">
            <v>.</v>
          </cell>
        </row>
        <row r="3">
          <cell r="AW3" t="str">
            <v>.</v>
          </cell>
        </row>
        <row r="4">
          <cell r="AW4" t="str">
            <v>.</v>
          </cell>
        </row>
        <row r="5">
          <cell r="C5" t="str">
            <v>Define value axis here:</v>
          </cell>
        </row>
        <row r="6">
          <cell r="C6" t="str">
            <v xml:space="preserve">FY10E EPS Accretion (%) Leverage Sensitivity </v>
          </cell>
        </row>
        <row r="10">
          <cell r="C10" t="str">
            <v>Input your data here:</v>
          </cell>
          <cell r="AW10" t="str">
            <v>.</v>
          </cell>
        </row>
        <row r="11">
          <cell r="C11">
            <v>0</v>
          </cell>
          <cell r="D11">
            <v>4.7124736027331672E-2</v>
          </cell>
        </row>
        <row r="12">
          <cell r="C12">
            <v>0.5</v>
          </cell>
          <cell r="D12">
            <v>7.3268204364269188E-2</v>
          </cell>
          <cell r="AW12" t="str">
            <v>.</v>
          </cell>
        </row>
        <row r="13">
          <cell r="C13">
            <v>1</v>
          </cell>
          <cell r="D13">
            <v>8.4208962348390648E-2</v>
          </cell>
          <cell r="AW13" t="str">
            <v>.</v>
          </cell>
        </row>
        <row r="14">
          <cell r="C14">
            <v>1.5</v>
          </cell>
          <cell r="D14">
            <v>0.11055082286529687</v>
          </cell>
          <cell r="AW14" t="str">
            <v>.</v>
          </cell>
        </row>
        <row r="15">
          <cell r="C15">
            <v>2</v>
          </cell>
          <cell r="D15">
            <v>0.11425187987431178</v>
          </cell>
          <cell r="AW15" t="str">
            <v>.</v>
          </cell>
        </row>
        <row r="16">
          <cell r="C16">
            <v>2.5</v>
          </cell>
          <cell r="D16">
            <v>0.13889723000085313</v>
          </cell>
          <cell r="AW16" t="str">
            <v>.</v>
          </cell>
        </row>
        <row r="17">
          <cell r="C17">
            <v>3</v>
          </cell>
          <cell r="D17">
            <v>0.12221195812700342</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3">
        <row r="1">
          <cell r="A1" t="str">
            <v>Nozema</v>
          </cell>
        </row>
        <row r="2">
          <cell r="A2" t="str">
            <v>FY09E Sales</v>
          </cell>
          <cell r="B2">
            <v>40</v>
          </cell>
        </row>
        <row r="3">
          <cell r="A3" t="str">
            <v>Est. Op Margin</v>
          </cell>
          <cell r="B3">
            <v>0.15</v>
          </cell>
        </row>
        <row r="4">
          <cell r="A4" t="str">
            <v>FY10E Tax Rate</v>
          </cell>
          <cell r="B4">
            <v>0.31243420414695217</v>
          </cell>
        </row>
        <row r="5">
          <cell r="A5" t="str">
            <v>Sharecount</v>
          </cell>
          <cell r="B5">
            <v>99.80578349999999</v>
          </cell>
        </row>
        <row r="6">
          <cell r="A6" t="str">
            <v>Haircut to A&amp;P Spending</v>
          </cell>
          <cell r="B6">
            <v>1</v>
          </cell>
        </row>
        <row r="8">
          <cell r="F8" t="str">
            <v>FY10E Noxzema Net Sales Growth</v>
          </cell>
        </row>
        <row r="9">
          <cell r="F9">
            <v>0.05</v>
          </cell>
          <cell r="G9">
            <v>0.1</v>
          </cell>
          <cell r="H9">
            <v>0.15</v>
          </cell>
          <cell r="I9">
            <v>0.2</v>
          </cell>
          <cell r="J9">
            <v>0.25</v>
          </cell>
          <cell r="K9">
            <v>0.3</v>
          </cell>
          <cell r="M9">
            <v>0.2</v>
          </cell>
          <cell r="N9">
            <v>48</v>
          </cell>
          <cell r="O9" t="str">
            <v>Sales</v>
          </cell>
        </row>
        <row r="10">
          <cell r="D10" t="str">
            <v>Incremental A &amp; P Spending</v>
          </cell>
          <cell r="E10">
            <v>5</v>
          </cell>
          <cell r="F10">
            <v>8.9557488881289345E-3</v>
          </cell>
          <cell r="G10">
            <v>1.1022460170004843E-2</v>
          </cell>
          <cell r="H10">
            <v>1.308917145188075E-2</v>
          </cell>
          <cell r="I10">
            <v>1.5155882733756657E-2</v>
          </cell>
          <cell r="J10">
            <v>1.7222594015632569E-2</v>
          </cell>
          <cell r="K10">
            <v>1.9289305297508476E-2</v>
          </cell>
          <cell r="N10">
            <v>7.1999999999999993</v>
          </cell>
          <cell r="O10" t="str">
            <v>margin</v>
          </cell>
        </row>
        <row r="11">
          <cell r="E11">
            <v>10</v>
          </cell>
          <cell r="F11">
            <v>-2.5489439143136207E-2</v>
          </cell>
          <cell r="G11">
            <v>-2.3422727861260297E-2</v>
          </cell>
          <cell r="H11">
            <v>-2.1356016579384393E-2</v>
          </cell>
          <cell r="I11">
            <v>-1.9289305297508483E-2</v>
          </cell>
          <cell r="J11">
            <v>-1.7222594015632569E-2</v>
          </cell>
          <cell r="K11">
            <v>-1.5155882733756664E-2</v>
          </cell>
          <cell r="M11">
            <v>20</v>
          </cell>
          <cell r="N11">
            <v>-12.8</v>
          </cell>
        </row>
        <row r="12">
          <cell r="E12">
            <v>15</v>
          </cell>
          <cell r="F12">
            <v>-5.9934627174401338E-2</v>
          </cell>
          <cell r="G12">
            <v>-5.7867915892525441E-2</v>
          </cell>
          <cell r="H12">
            <v>-5.5801204610649538E-2</v>
          </cell>
          <cell r="I12">
            <v>-5.3734493328773621E-2</v>
          </cell>
          <cell r="J12">
            <v>-5.1667782046897703E-2</v>
          </cell>
          <cell r="K12">
            <v>-4.96010707650218E-2</v>
          </cell>
          <cell r="N12">
            <v>-8.800842186919013</v>
          </cell>
        </row>
        <row r="13">
          <cell r="E13">
            <v>20</v>
          </cell>
          <cell r="F13">
            <v>-9.4379815205666476E-2</v>
          </cell>
          <cell r="G13">
            <v>-9.2313103923790593E-2</v>
          </cell>
          <cell r="H13">
            <v>-9.0246392641914683E-2</v>
          </cell>
          <cell r="I13">
            <v>-8.8179681360038759E-2</v>
          </cell>
          <cell r="J13">
            <v>-8.6112970078162848E-2</v>
          </cell>
          <cell r="K13">
            <v>-8.4046258796286924E-2</v>
          </cell>
          <cell r="N13">
            <v>-8.8179681360038759E-2</v>
          </cell>
        </row>
        <row r="14">
          <cell r="E14">
            <v>25</v>
          </cell>
          <cell r="F14">
            <v>-0.12882500323693161</v>
          </cell>
          <cell r="G14">
            <v>-0.1267582919550557</v>
          </cell>
          <cell r="H14">
            <v>-0.12469158067317981</v>
          </cell>
          <cell r="I14">
            <v>-0.12262486939130389</v>
          </cell>
          <cell r="J14">
            <v>-0.12055815810942799</v>
          </cell>
          <cell r="K14">
            <v>-0.11849144682755207</v>
          </cell>
        </row>
        <row r="15">
          <cell r="E15">
            <v>30</v>
          </cell>
          <cell r="F15">
            <v>-0.16327019126819675</v>
          </cell>
          <cell r="G15">
            <v>-0.16120347998632084</v>
          </cell>
          <cell r="H15">
            <v>-0.15913676870444496</v>
          </cell>
          <cell r="I15">
            <v>-0.15707005742256905</v>
          </cell>
          <cell r="J15">
            <v>-0.15500334614069314</v>
          </cell>
          <cell r="K15">
            <v>-0.15293663485881723</v>
          </cell>
        </row>
      </sheetData>
      <sheetData sheetId="14">
        <row r="3">
          <cell r="D3" t="str">
            <v>4-week</v>
          </cell>
          <cell r="F3" t="str">
            <v>% chg</v>
          </cell>
          <cell r="J3" t="str">
            <v>13-week</v>
          </cell>
          <cell r="L3" t="str">
            <v>% chg</v>
          </cell>
          <cell r="O3" t="str">
            <v>52-week</v>
          </cell>
          <cell r="Q3" t="str">
            <v>% chg</v>
          </cell>
        </row>
        <row r="4">
          <cell r="C4">
            <v>39194</v>
          </cell>
          <cell r="D4">
            <v>39558</v>
          </cell>
          <cell r="E4">
            <v>39922</v>
          </cell>
          <cell r="F4">
            <v>39558</v>
          </cell>
          <cell r="G4">
            <v>39922</v>
          </cell>
          <cell r="I4">
            <v>39194</v>
          </cell>
          <cell r="J4">
            <v>39558</v>
          </cell>
          <cell r="K4">
            <v>39922</v>
          </cell>
          <cell r="L4">
            <v>39558</v>
          </cell>
          <cell r="M4">
            <v>39922</v>
          </cell>
          <cell r="O4">
            <v>39558</v>
          </cell>
          <cell r="P4">
            <v>39922</v>
          </cell>
          <cell r="Q4">
            <v>39558</v>
          </cell>
          <cell r="R4">
            <v>39922</v>
          </cell>
          <cell r="T4" t="str">
            <v>LINKED</v>
          </cell>
          <cell r="V4" t="str">
            <v>Price/Mix</v>
          </cell>
          <cell r="W4" t="str">
            <v>Dollar Share</v>
          </cell>
        </row>
        <row r="5">
          <cell r="B5" t="str">
            <v>Sales</v>
          </cell>
          <cell r="T5" t="str">
            <v>Brand</v>
          </cell>
          <cell r="U5" t="str">
            <v>Company</v>
          </cell>
          <cell r="V5" t="str">
            <v>Per Unit</v>
          </cell>
          <cell r="W5">
            <v>39922</v>
          </cell>
          <cell r="X5" t="str">
            <v>YoY</v>
          </cell>
        </row>
        <row r="6">
          <cell r="B6" t="str">
            <v>Alberto VO5</v>
          </cell>
          <cell r="C6">
            <v>2.3013569517800003</v>
          </cell>
          <cell r="D6">
            <v>2.5357654473500002</v>
          </cell>
          <cell r="E6">
            <v>1.9213463293999999</v>
          </cell>
          <cell r="F6">
            <v>0.10185664391988181</v>
          </cell>
          <cell r="G6">
            <v>-0.24230124225097338</v>
          </cell>
          <cell r="I6">
            <v>6.7137960129400014</v>
          </cell>
          <cell r="J6">
            <v>6.8763226585699995</v>
          </cell>
          <cell r="K6">
            <v>6.7250117065800001</v>
          </cell>
          <cell r="L6">
            <v>2.4207861739729442E-2</v>
          </cell>
          <cell r="M6">
            <v>-2.2004632345374309E-2</v>
          </cell>
          <cell r="O6">
            <v>31.553916184999999</v>
          </cell>
          <cell r="P6">
            <v>30.637107076939998</v>
          </cell>
          <cell r="R6">
            <v>-2.9055319241033883E-2</v>
          </cell>
          <cell r="T6" t="str">
            <v>Alberto VO5</v>
          </cell>
          <cell r="U6" t="str">
            <v>Alberto Culver</v>
          </cell>
          <cell r="V6">
            <v>1.0063023829529456</v>
          </cell>
          <cell r="W6">
            <v>2.2419117155667998E-2</v>
          </cell>
          <cell r="X6">
            <v>-3.5272242934338699E-5</v>
          </cell>
        </row>
        <row r="7">
          <cell r="B7" t="str">
            <v>Tresemme</v>
          </cell>
          <cell r="C7">
            <v>3.2554608967699989</v>
          </cell>
          <cell r="D7">
            <v>3.56974153656</v>
          </cell>
          <cell r="E7">
            <v>3.6841886752499997</v>
          </cell>
          <cell r="F7">
            <v>9.6539522284486257E-2</v>
          </cell>
          <cell r="G7">
            <v>3.2060343169911132E-2</v>
          </cell>
          <cell r="I7">
            <v>9.5091072986699992</v>
          </cell>
          <cell r="J7">
            <v>10.629888623580001</v>
          </cell>
          <cell r="K7">
            <v>11.01704226168</v>
          </cell>
          <cell r="L7">
            <v>0.11786398972138645</v>
          </cell>
          <cell r="M7">
            <v>3.6421231850086055E-2</v>
          </cell>
          <cell r="O7">
            <v>43.873605661800006</v>
          </cell>
          <cell r="P7">
            <v>48.638030165209997</v>
          </cell>
          <cell r="R7">
            <v>0.10859432297715821</v>
          </cell>
          <cell r="T7" t="str">
            <v>Tresemme</v>
          </cell>
          <cell r="U7" t="str">
            <v>Alberto Culver</v>
          </cell>
          <cell r="V7">
            <v>1.9812096826503975</v>
          </cell>
          <cell r="W7">
            <v>3.5591535903058483E-2</v>
          </cell>
          <cell r="X7">
            <v>4.3702123730460195E-3</v>
          </cell>
        </row>
        <row r="8">
          <cell r="B8" t="str">
            <v>Nexxus</v>
          </cell>
          <cell r="C8">
            <v>2.2724195305999997</v>
          </cell>
          <cell r="D8">
            <v>2.1664168178000001</v>
          </cell>
          <cell r="E8">
            <v>2.0395040872000001</v>
          </cell>
          <cell r="F8">
            <v>-4.664751000974332E-2</v>
          </cell>
          <cell r="G8">
            <v>-5.8581861790050205E-2</v>
          </cell>
          <cell r="I8">
            <v>6.4481375878399998</v>
          </cell>
          <cell r="J8">
            <v>6.4387091508700003</v>
          </cell>
          <cell r="K8">
            <v>6.3758102427700001</v>
          </cell>
          <cell r="L8">
            <v>-1.4621953768139129E-3</v>
          </cell>
          <cell r="M8">
            <v>-9.7688692913705522E-3</v>
          </cell>
          <cell r="O8">
            <v>28.185278267699999</v>
          </cell>
          <cell r="P8">
            <v>25.848608928840001</v>
          </cell>
          <cell r="R8">
            <v>-8.290389460294223E-2</v>
          </cell>
          <cell r="T8" t="str">
            <v>Nexxus</v>
          </cell>
          <cell r="U8" t="str">
            <v>Alberto Culver</v>
          </cell>
          <cell r="V8">
            <v>10.849864885683528</v>
          </cell>
          <cell r="W8">
            <v>1.8915068920553904E-2</v>
          </cell>
          <cell r="X8">
            <v>-1.1421312640544877E-3</v>
          </cell>
        </row>
        <row r="9">
          <cell r="B9" t="str">
            <v>Suave</v>
          </cell>
          <cell r="C9">
            <v>7.7935467151600024</v>
          </cell>
          <cell r="D9">
            <v>7.7292957482899993</v>
          </cell>
          <cell r="E9">
            <v>9.2156959716699998</v>
          </cell>
          <cell r="F9">
            <v>-8.2441241732755799E-3</v>
          </cell>
          <cell r="G9">
            <v>0.19230732938493733</v>
          </cell>
          <cell r="I9">
            <v>23.391295299040003</v>
          </cell>
          <cell r="J9">
            <v>23.37685228346</v>
          </cell>
          <cell r="K9">
            <v>25.471442751129999</v>
          </cell>
          <cell r="L9">
            <v>-6.1745257777989782E-4</v>
          </cell>
          <cell r="M9">
            <v>8.9601048176704223E-2</v>
          </cell>
          <cell r="O9">
            <v>108.58648537280001</v>
          </cell>
          <cell r="P9">
            <v>109.84207695515002</v>
          </cell>
          <cell r="R9">
            <v>1.1563055734231664E-2</v>
          </cell>
          <cell r="T9" t="str">
            <v>Suave</v>
          </cell>
          <cell r="U9" t="str">
            <v>Unilver</v>
          </cell>
          <cell r="V9">
            <v>1.5916781012000518</v>
          </cell>
          <cell r="W9">
            <v>8.0378424297538678E-2</v>
          </cell>
          <cell r="X9">
            <v>3.1061386106808059E-3</v>
          </cell>
        </row>
        <row r="10">
          <cell r="B10" t="str">
            <v>Garnier Fructis</v>
          </cell>
          <cell r="C10">
            <v>6.0700161499999998</v>
          </cell>
          <cell r="D10">
            <v>6.4794147200000003</v>
          </cell>
          <cell r="E10">
            <v>5.7903942492999994</v>
          </cell>
          <cell r="F10">
            <v>6.7446042956574415E-2</v>
          </cell>
          <cell r="G10">
            <v>-0.10633992427945727</v>
          </cell>
          <cell r="I10">
            <v>20.40842503</v>
          </cell>
          <cell r="J10">
            <v>20.91448123</v>
          </cell>
          <cell r="K10">
            <v>19.162639730199999</v>
          </cell>
          <cell r="L10">
            <v>2.4796435749260715E-2</v>
          </cell>
          <cell r="M10">
            <v>-8.3762130197479467E-2</v>
          </cell>
          <cell r="O10">
            <v>88.280197262299993</v>
          </cell>
          <cell r="P10">
            <v>82.834007234200001</v>
          </cell>
          <cell r="R10">
            <v>-6.1692091737381993E-2</v>
          </cell>
          <cell r="T10" t="str">
            <v>Garnier Fructis</v>
          </cell>
          <cell r="U10" t="str">
            <v>L'Oreal</v>
          </cell>
          <cell r="V10">
            <v>3.6776359528289122</v>
          </cell>
          <cell r="W10">
            <v>6.061490427256299E-2</v>
          </cell>
          <cell r="X10">
            <v>-2.2070260986484583E-3</v>
          </cell>
        </row>
        <row r="11">
          <cell r="B11" t="str">
            <v>Private Label</v>
          </cell>
          <cell r="C11">
            <v>2.9084340899999996</v>
          </cell>
          <cell r="D11">
            <v>3.72709241</v>
          </cell>
          <cell r="E11">
            <v>3.5217830499999998</v>
          </cell>
          <cell r="F11">
            <v>0.28147734989586803</v>
          </cell>
          <cell r="G11">
            <v>-5.5085663947892383E-2</v>
          </cell>
          <cell r="I11">
            <v>9.0301360499999994</v>
          </cell>
          <cell r="J11">
            <v>10.6656569</v>
          </cell>
          <cell r="K11">
            <v>10.843564690000001</v>
          </cell>
          <cell r="L11">
            <v>0.1811180740737568</v>
          </cell>
          <cell r="M11">
            <v>1.6680434376245667E-2</v>
          </cell>
          <cell r="O11">
            <v>40.860643539999998</v>
          </cell>
          <cell r="P11">
            <v>48.961185640000011</v>
          </cell>
          <cell r="R11">
            <v>0.19824803033437521</v>
          </cell>
          <cell r="T11" t="str">
            <v>Private Label</v>
          </cell>
          <cell r="U11" t="str">
            <v>NA</v>
          </cell>
          <cell r="V11">
            <v>4.1505178962957014</v>
          </cell>
          <cell r="W11">
            <v>3.5828009289093868E-2</v>
          </cell>
          <cell r="X11">
            <v>6.7507690585831559E-3</v>
          </cell>
        </row>
        <row r="12">
          <cell r="B12" t="str">
            <v>Pantene</v>
          </cell>
          <cell r="C12">
            <v>19.193389994699999</v>
          </cell>
          <cell r="D12">
            <v>16.371086707</v>
          </cell>
          <cell r="E12">
            <v>16.347979119009999</v>
          </cell>
          <cell r="F12">
            <v>-0.14704558644821686</v>
          </cell>
          <cell r="G12">
            <v>-1.4114877285525962E-3</v>
          </cell>
          <cell r="I12">
            <v>57.521938055299998</v>
          </cell>
          <cell r="J12">
            <v>50.378975276100007</v>
          </cell>
          <cell r="K12">
            <v>50.07953533525</v>
          </cell>
          <cell r="L12">
            <v>-0.12417806180892144</v>
          </cell>
          <cell r="M12">
            <v>-5.9437481451128926E-3</v>
          </cell>
          <cell r="O12">
            <v>235.92849931213001</v>
          </cell>
          <cell r="P12">
            <v>217.18244302588002</v>
          </cell>
          <cell r="R12">
            <v>-7.9456514753010965E-2</v>
          </cell>
          <cell r="T12" t="str">
            <v>Pantene</v>
          </cell>
          <cell r="U12" t="str">
            <v>Procter &amp; Gamble</v>
          </cell>
          <cell r="V12">
            <v>4.6255408391244499</v>
          </cell>
          <cell r="W12">
            <v>0.15892618784546508</v>
          </cell>
          <cell r="X12">
            <v>-8.9651877518631962E-3</v>
          </cell>
        </row>
        <row r="13">
          <cell r="B13" t="str">
            <v xml:space="preserve">Clairol </v>
          </cell>
          <cell r="C13">
            <v>7.5673455691899978</v>
          </cell>
          <cell r="D13">
            <v>7.6906538768699981</v>
          </cell>
          <cell r="E13">
            <v>7.1493953925100016</v>
          </cell>
          <cell r="F13">
            <v>1.629479010209911E-2</v>
          </cell>
          <cell r="G13">
            <v>-7.0378734113604624E-2</v>
          </cell>
          <cell r="I13">
            <v>21.004222079129995</v>
          </cell>
          <cell r="J13">
            <v>23.882679978039999</v>
          </cell>
          <cell r="K13">
            <v>22.831270256490001</v>
          </cell>
          <cell r="L13">
            <v>0.13704187129929779</v>
          </cell>
          <cell r="M13">
            <v>-4.4023942142036199E-2</v>
          </cell>
          <cell r="O13">
            <v>99.590815174170004</v>
          </cell>
          <cell r="P13">
            <v>97.675659236119998</v>
          </cell>
          <cell r="R13">
            <v>-1.9230246631686598E-2</v>
          </cell>
          <cell r="T13" t="str">
            <v xml:space="preserve">Clairol </v>
          </cell>
          <cell r="U13" t="str">
            <v>Procter &amp; Gamble</v>
          </cell>
          <cell r="V13">
            <v>4.3467790516250755</v>
          </cell>
          <cell r="W13">
            <v>7.1475483705832787E-2</v>
          </cell>
          <cell r="X13">
            <v>6.0469444043853571E-4</v>
          </cell>
        </row>
        <row r="14">
          <cell r="B14" t="str">
            <v>Dove</v>
          </cell>
          <cell r="C14">
            <v>3.9629221000000001</v>
          </cell>
          <cell r="D14">
            <v>4.2165456641999999</v>
          </cell>
          <cell r="E14">
            <v>2.9224941358300005</v>
          </cell>
          <cell r="F14">
            <v>6.3999129379807895E-2</v>
          </cell>
          <cell r="G14">
            <v>-0.30689849735459185</v>
          </cell>
          <cell r="I14">
            <v>12.077930309999999</v>
          </cell>
          <cell r="J14">
            <v>11.894164763099999</v>
          </cell>
          <cell r="K14">
            <v>8.7117793994500001</v>
          </cell>
          <cell r="L14">
            <v>-1.5214986523630625E-2</v>
          </cell>
          <cell r="M14">
            <v>-0.26755854043008631</v>
          </cell>
          <cell r="O14">
            <v>52.362972894299993</v>
          </cell>
          <cell r="P14">
            <v>42.12074963613999</v>
          </cell>
          <cell r="R14">
            <v>-0.19560049195134466</v>
          </cell>
          <cell r="T14" t="str">
            <v>Dove</v>
          </cell>
          <cell r="U14" t="str">
            <v>Unilver</v>
          </cell>
          <cell r="V14">
            <v>4.8296869910278195</v>
          </cell>
          <cell r="W14">
            <v>3.0822427796648851E-2</v>
          </cell>
          <cell r="X14">
            <v>-6.4400969734463784E-3</v>
          </cell>
        </row>
        <row r="15">
          <cell r="B15" t="str">
            <v>L'Oreal</v>
          </cell>
          <cell r="C15">
            <v>4.8230769353699987</v>
          </cell>
          <cell r="D15">
            <v>3.7110666584999996</v>
          </cell>
          <cell r="E15">
            <v>3.7678761330700006</v>
          </cell>
          <cell r="F15">
            <v>-0.23056034389894964</v>
          </cell>
          <cell r="G15">
            <v>1.5308125613934243E-2</v>
          </cell>
          <cell r="I15">
            <v>15.869609058619998</v>
          </cell>
          <cell r="J15">
            <v>13.04848591569</v>
          </cell>
          <cell r="K15">
            <v>11.525538329600002</v>
          </cell>
          <cell r="L15">
            <v>-0.17776891242305881</v>
          </cell>
          <cell r="M15">
            <v>-0.11671450587678889</v>
          </cell>
          <cell r="O15">
            <v>60.700214595829998</v>
          </cell>
          <cell r="P15">
            <v>51.432480153659995</v>
          </cell>
          <cell r="R15">
            <v>-0.15268042302451235</v>
          </cell>
          <cell r="T15" t="str">
            <v>L'Oreal</v>
          </cell>
          <cell r="U15" t="str">
            <v>L'Oreal</v>
          </cell>
          <cell r="V15">
            <v>4.7127301065172897</v>
          </cell>
          <cell r="W15">
            <v>3.7636412448333552E-2</v>
          </cell>
          <cell r="X15">
            <v>-5.559058032171306E-3</v>
          </cell>
        </row>
        <row r="16">
          <cell r="B16" t="str">
            <v>Head &amp; Shoulders</v>
          </cell>
          <cell r="C16">
            <v>10.113987609500002</v>
          </cell>
          <cell r="D16">
            <v>10.190386979259999</v>
          </cell>
          <cell r="E16">
            <v>9.7801489590499973</v>
          </cell>
          <cell r="F16">
            <v>7.5538326434407832E-3</v>
          </cell>
          <cell r="G16">
            <v>-4.0257354411067925E-2</v>
          </cell>
          <cell r="I16">
            <v>30.6819867233</v>
          </cell>
          <cell r="J16">
            <v>32.767347242569997</v>
          </cell>
          <cell r="K16">
            <v>31.483900138209997</v>
          </cell>
          <cell r="L16">
            <v>6.7966932457029117E-2</v>
          </cell>
          <cell r="M16">
            <v>-3.9168477535239665E-2</v>
          </cell>
          <cell r="O16">
            <v>135.42310085297001</v>
          </cell>
          <cell r="P16">
            <v>131.06306070088002</v>
          </cell>
          <cell r="R16">
            <v>-3.2195689838942054E-2</v>
          </cell>
          <cell r="T16" t="str">
            <v>Head &amp; Shoulders</v>
          </cell>
          <cell r="U16" t="str">
            <v>Procter &amp; Gamble</v>
          </cell>
          <cell r="V16">
            <v>5.1550204647912574</v>
          </cell>
          <cell r="W16">
            <v>9.5907165949264003E-2</v>
          </cell>
          <cell r="X16">
            <v>-4.6258486994908699E-4</v>
          </cell>
        </row>
        <row r="17">
          <cell r="B17" t="str">
            <v>Neutrogena</v>
          </cell>
          <cell r="C17">
            <v>3.6675353899200003</v>
          </cell>
          <cell r="D17">
            <v>3.5864815000000001</v>
          </cell>
          <cell r="E17">
            <v>3.5932874000000004</v>
          </cell>
          <cell r="F17">
            <v>-2.2100370222131183E-2</v>
          </cell>
          <cell r="G17">
            <v>1.8976537311010677E-3</v>
          </cell>
          <cell r="I17">
            <v>11.641736010940001</v>
          </cell>
          <cell r="J17">
            <v>11.301660099999999</v>
          </cell>
          <cell r="K17">
            <v>10.99218447823</v>
          </cell>
          <cell r="L17">
            <v>-2.9211786852100463E-2</v>
          </cell>
          <cell r="M17">
            <v>-2.7383200258340845E-2</v>
          </cell>
          <cell r="O17">
            <v>47.889692707990001</v>
          </cell>
          <cell r="P17">
            <v>44.985169799109997</v>
          </cell>
          <cell r="R17">
            <v>-6.0650272420633144E-2</v>
          </cell>
          <cell r="T17" t="str">
            <v>Neutrogena</v>
          </cell>
          <cell r="U17" t="str">
            <v>Johnson &amp; Johson</v>
          </cell>
          <cell r="V17">
            <v>14.852874105823339</v>
          </cell>
          <cell r="W17">
            <v>3.2918505962756701E-2</v>
          </cell>
          <cell r="X17">
            <v>-1.1607443572337894E-3</v>
          </cell>
        </row>
        <row r="18">
          <cell r="B18" t="str">
            <v>Matrix</v>
          </cell>
          <cell r="C18">
            <v>3.4340777189099994</v>
          </cell>
          <cell r="D18">
            <v>3.7791425219100003</v>
          </cell>
          <cell r="E18">
            <v>2.9605956811099996</v>
          </cell>
          <cell r="F18">
            <v>0.10048252580303485</v>
          </cell>
          <cell r="G18">
            <v>-0.21659591720989191</v>
          </cell>
          <cell r="I18">
            <v>9.9159627816300002</v>
          </cell>
          <cell r="J18">
            <v>11.23335706202</v>
          </cell>
          <cell r="K18">
            <v>9.0117807846800009</v>
          </cell>
          <cell r="L18">
            <v>0.1328559121692714</v>
          </cell>
          <cell r="M18">
            <v>-0.19776601643431702</v>
          </cell>
          <cell r="O18">
            <v>47.194072254610006</v>
          </cell>
          <cell r="P18">
            <v>43.579335793669998</v>
          </cell>
          <cell r="R18">
            <v>-7.6593018746902386E-2</v>
          </cell>
          <cell r="T18" t="str">
            <v>Matrix</v>
          </cell>
          <cell r="U18" t="str">
            <v>L'Oreal</v>
          </cell>
          <cell r="V18">
            <v>14.969551708694524</v>
          </cell>
          <cell r="W18">
            <v>3.1889767929814156E-2</v>
          </cell>
          <cell r="X18">
            <v>-1.6944651491388532E-3</v>
          </cell>
        </row>
        <row r="19">
          <cell r="B19" t="str">
            <v>Pert Plus</v>
          </cell>
          <cell r="C19">
            <v>2.5225943408</v>
          </cell>
          <cell r="D19">
            <v>2.2492027265400001</v>
          </cell>
          <cell r="E19">
            <v>2.0507322999700004</v>
          </cell>
          <cell r="F19">
            <v>-0.10837716149529542</v>
          </cell>
          <cell r="G19">
            <v>-8.8240345891502314E-2</v>
          </cell>
          <cell r="I19">
            <v>7.4573057398999989</v>
          </cell>
          <cell r="J19">
            <v>6.9988695826400011</v>
          </cell>
          <cell r="K19">
            <v>7.0409989607700005</v>
          </cell>
          <cell r="L19">
            <v>-6.1474770278916457E-2</v>
          </cell>
          <cell r="M19">
            <v>6.0194546608636212E-3</v>
          </cell>
          <cell r="O19">
            <v>31.931848986219997</v>
          </cell>
          <cell r="P19">
            <v>35.324667003169999</v>
          </cell>
          <cell r="R19">
            <v>0.10625184963182543</v>
          </cell>
          <cell r="T19" t="str">
            <v>Pert Plus</v>
          </cell>
          <cell r="U19" t="str">
            <v>Procter &amp; Gamble</v>
          </cell>
          <cell r="V19">
            <v>3.4988211801905753</v>
          </cell>
          <cell r="W19">
            <v>2.5849302482776278E-2</v>
          </cell>
          <cell r="X19">
            <v>3.1259686452224135E-3</v>
          </cell>
        </row>
        <row r="20">
          <cell r="B20" t="str">
            <v>Aussie</v>
          </cell>
          <cell r="C20">
            <v>1.8213134587700004</v>
          </cell>
          <cell r="D20">
            <v>1.8912339097200002</v>
          </cell>
          <cell r="E20">
            <v>1.8111166439299997</v>
          </cell>
          <cell r="F20">
            <v>3.8390124782375246E-2</v>
          </cell>
          <cell r="G20">
            <v>-4.2362430886120239E-2</v>
          </cell>
          <cell r="I20">
            <v>5.4385749835900006</v>
          </cell>
          <cell r="J20">
            <v>6.0307185368900003</v>
          </cell>
          <cell r="K20">
            <v>5.4078718039799991</v>
          </cell>
          <cell r="L20">
            <v>0.10887843876138414</v>
          </cell>
          <cell r="M20">
            <v>-0.10327902539308342</v>
          </cell>
          <cell r="O20">
            <v>26.5672614253</v>
          </cell>
          <cell r="P20">
            <v>25.522521138549997</v>
          </cell>
          <cell r="R20">
            <v>-3.9324349996988972E-2</v>
          </cell>
          <cell r="T20" t="str">
            <v>Aussie</v>
          </cell>
          <cell r="U20" t="str">
            <v>Procter &amp; Gamble</v>
          </cell>
          <cell r="V20">
            <v>3.5671146592113177</v>
          </cell>
          <cell r="W20">
            <v>1.8676449773021953E-2</v>
          </cell>
          <cell r="X20">
            <v>-2.2933769882725955E-4</v>
          </cell>
        </row>
        <row r="21">
          <cell r="B21" t="str">
            <v>Total Shampoo Category</v>
          </cell>
          <cell r="C21">
            <v>107.5107</v>
          </cell>
          <cell r="D21">
            <v>105.70569999999999</v>
          </cell>
          <cell r="E21">
            <v>102.48520000000001</v>
          </cell>
          <cell r="F21">
            <v>-1.6789026580610211E-2</v>
          </cell>
          <cell r="G21">
            <v>-3.0466663576325437E-2</v>
          </cell>
          <cell r="I21">
            <v>324.21249999999998</v>
          </cell>
          <cell r="J21">
            <v>323.11359999999996</v>
          </cell>
          <cell r="K21">
            <v>316.07839999999999</v>
          </cell>
          <cell r="L21">
            <v>-3.3894436519258386E-3</v>
          </cell>
          <cell r="M21">
            <v>-2.1773147276994753E-2</v>
          </cell>
          <cell r="O21">
            <v>1405.2448999999999</v>
          </cell>
          <cell r="P21">
            <v>1366.5617100000002</v>
          </cell>
          <cell r="R21">
            <v>-2.7527721324588916E-2</v>
          </cell>
          <cell r="T21" t="str">
            <v>Total Shampoo Category</v>
          </cell>
          <cell r="U21" t="str">
            <v>NA</v>
          </cell>
          <cell r="V21">
            <v>3.8826186379780863</v>
          </cell>
          <cell r="W21">
            <v>1</v>
          </cell>
          <cell r="X21">
            <v>0</v>
          </cell>
        </row>
        <row r="23">
          <cell r="B23" t="str">
            <v>Volume</v>
          </cell>
          <cell r="T23" t="str">
            <v>VALUES</v>
          </cell>
        </row>
        <row r="24">
          <cell r="B24" t="str">
            <v>Alberto VO5</v>
          </cell>
          <cell r="C24">
            <v>2.3370494155699997</v>
          </cell>
          <cell r="D24">
            <v>2.5802467588400004</v>
          </cell>
          <cell r="E24">
            <v>1.83489033599</v>
          </cell>
          <cell r="F24">
            <v>0.10406170346667043</v>
          </cell>
          <cell r="G24">
            <v>-0.28887020991166357</v>
          </cell>
          <cell r="I24">
            <v>6.6486515985299999</v>
          </cell>
          <cell r="J24">
            <v>6.7926931787000004</v>
          </cell>
          <cell r="K24">
            <v>6.732474014320001</v>
          </cell>
          <cell r="L24">
            <v>2.1664780901115011E-2</v>
          </cell>
          <cell r="M24">
            <v>-8.8652855054354163E-3</v>
          </cell>
          <cell r="O24">
            <v>30.978073857690003</v>
          </cell>
          <cell r="P24">
            <v>30.445229581030002</v>
          </cell>
          <cell r="R24">
            <v>-1.7200691014807146E-2</v>
          </cell>
          <cell r="V24" t="str">
            <v>Price/Mix</v>
          </cell>
          <cell r="W24" t="str">
            <v>Market Share</v>
          </cell>
        </row>
        <row r="25">
          <cell r="B25" t="str">
            <v>Tresemme</v>
          </cell>
          <cell r="C25">
            <v>1.7222041451099999</v>
          </cell>
          <cell r="D25">
            <v>1.7974923070299997</v>
          </cell>
          <cell r="E25">
            <v>1.6974805117000002</v>
          </cell>
          <cell r="F25">
            <v>4.3716165783116878E-2</v>
          </cell>
          <cell r="G25">
            <v>-5.5639623568263907E-2</v>
          </cell>
          <cell r="I25">
            <v>5.0378726310599999</v>
          </cell>
          <cell r="J25">
            <v>5.42577792261</v>
          </cell>
          <cell r="K25">
            <v>5.20411611798</v>
          </cell>
          <cell r="L25">
            <v>7.6997836181575297E-2</v>
          </cell>
          <cell r="M25">
            <v>-4.0853460608165193E-2</v>
          </cell>
          <cell r="O25">
            <v>22.405239324459998</v>
          </cell>
          <cell r="P25">
            <v>24.549663062489998</v>
          </cell>
          <cell r="R25">
            <v>9.5710815982622099E-2</v>
          </cell>
          <cell r="T25" t="str">
            <v>Brand</v>
          </cell>
          <cell r="U25" t="str">
            <v>Company</v>
          </cell>
          <cell r="V25" t="str">
            <v>Per Bottle</v>
          </cell>
          <cell r="W25" t="str">
            <v>$</v>
          </cell>
          <cell r="X25" t="str">
            <v>YoY ∆</v>
          </cell>
        </row>
        <row r="26">
          <cell r="B26" t="str">
            <v>Nexxus</v>
          </cell>
          <cell r="C26">
            <v>0.21111953244000004</v>
          </cell>
          <cell r="D26">
            <v>0.20834699446999996</v>
          </cell>
          <cell r="E26">
            <v>0.16511987194000002</v>
          </cell>
          <cell r="F26">
            <v>-1.3132550730653114E-2</v>
          </cell>
          <cell r="G26">
            <v>-0.20747658318740103</v>
          </cell>
          <cell r="I26">
            <v>0.60570599744000009</v>
          </cell>
          <cell r="J26">
            <v>0.62891016002</v>
          </cell>
          <cell r="K26">
            <v>0.52596967900000002</v>
          </cell>
          <cell r="L26">
            <v>3.830928318040705E-2</v>
          </cell>
          <cell r="M26">
            <v>-0.16368074100874175</v>
          </cell>
          <cell r="O26">
            <v>2.6967398859899996</v>
          </cell>
          <cell r="P26">
            <v>2.3823899376799997</v>
          </cell>
          <cell r="R26">
            <v>-0.116566655146497</v>
          </cell>
          <cell r="T26" t="str">
            <v>Matrix</v>
          </cell>
          <cell r="U26" t="str">
            <v>L'Oreal</v>
          </cell>
          <cell r="V26">
            <v>14.969551708694524</v>
          </cell>
          <cell r="W26">
            <v>3.1889767929814156E-2</v>
          </cell>
          <cell r="X26">
            <v>-1.6944651491388532E-3</v>
          </cell>
        </row>
        <row r="27">
          <cell r="B27" t="str">
            <v>Suave</v>
          </cell>
          <cell r="C27">
            <v>4.9044709505599977</v>
          </cell>
          <cell r="D27">
            <v>4.9777029300099986</v>
          </cell>
          <cell r="E27">
            <v>5.5966409957699987</v>
          </cell>
          <cell r="F27">
            <v>1.4931677685161793E-2</v>
          </cell>
          <cell r="G27">
            <v>0.12434210608039575</v>
          </cell>
          <cell r="I27">
            <v>14.979882712499997</v>
          </cell>
          <cell r="J27">
            <v>15.050300774339998</v>
          </cell>
          <cell r="K27">
            <v>15.320257498159998</v>
          </cell>
          <cell r="L27">
            <v>4.7008420020031583E-3</v>
          </cell>
          <cell r="M27">
            <v>1.7936965371500246E-2</v>
          </cell>
          <cell r="O27">
            <v>69.094814449689991</v>
          </cell>
          <cell r="P27">
            <v>69.010233207539997</v>
          </cell>
          <cell r="R27">
            <v>-1.224132994981586E-3</v>
          </cell>
          <cell r="T27" t="str">
            <v>Neutrogena</v>
          </cell>
          <cell r="U27" t="str">
            <v>Johnson &amp; Johson</v>
          </cell>
          <cell r="V27">
            <v>14.852874105823339</v>
          </cell>
          <cell r="W27">
            <v>3.2918505962756701E-2</v>
          </cell>
          <cell r="X27">
            <v>-1.1607443572337894E-3</v>
          </cell>
        </row>
        <row r="28">
          <cell r="B28" t="str">
            <v>Garnier Fructis</v>
          </cell>
          <cell r="C28">
            <v>1.5313887690000003</v>
          </cell>
          <cell r="D28">
            <v>1.70352605</v>
          </cell>
          <cell r="E28">
            <v>1.5451000393700001</v>
          </cell>
          <cell r="F28">
            <v>0.11240599675574581</v>
          </cell>
          <cell r="G28">
            <v>-9.299887761035408E-2</v>
          </cell>
          <cell r="I28">
            <v>5.1314113090000006</v>
          </cell>
          <cell r="J28">
            <v>5.32555157</v>
          </cell>
          <cell r="K28">
            <v>5.5433304979100004</v>
          </cell>
          <cell r="L28">
            <v>3.7833697068776484E-2</v>
          </cell>
          <cell r="M28">
            <v>4.0893215481528022E-2</v>
          </cell>
          <cell r="O28">
            <v>22.235091026700005</v>
          </cell>
          <cell r="P28">
            <v>22.523710420680004</v>
          </cell>
          <cell r="R28">
            <v>1.2980355854330661E-2</v>
          </cell>
          <cell r="T28" t="str">
            <v>Nexxus</v>
          </cell>
          <cell r="U28" t="str">
            <v>Alberto Culver</v>
          </cell>
          <cell r="V28">
            <v>10.849864885683528</v>
          </cell>
          <cell r="W28">
            <v>1.8915068920553904E-2</v>
          </cell>
          <cell r="X28">
            <v>-1.1421312640544877E-3</v>
          </cell>
        </row>
        <row r="29">
          <cell r="B29" t="str">
            <v>Private Label</v>
          </cell>
          <cell r="C29">
            <v>0.82062994000000011</v>
          </cell>
          <cell r="D29">
            <v>0.92486875999999996</v>
          </cell>
          <cell r="E29">
            <v>0.8286525549999999</v>
          </cell>
          <cell r="F29">
            <v>0.12702293070126092</v>
          </cell>
          <cell r="G29">
            <v>-0.10403227913114943</v>
          </cell>
          <cell r="I29">
            <v>2.6102123400000004</v>
          </cell>
          <cell r="J29">
            <v>2.5517876780000002</v>
          </cell>
          <cell r="K29">
            <v>2.6309906979999997</v>
          </cell>
          <cell r="L29">
            <v>-2.2383106962095001E-2</v>
          </cell>
          <cell r="M29">
            <v>3.1038248472959218E-2</v>
          </cell>
          <cell r="O29">
            <v>10.572651346000001</v>
          </cell>
          <cell r="P29">
            <v>11.796403933999999</v>
          </cell>
          <cell r="R29">
            <v>0.11574699173854675</v>
          </cell>
          <cell r="T29" t="str">
            <v>Head &amp; Shoulders</v>
          </cell>
          <cell r="U29" t="str">
            <v>Procter &amp; Gamble</v>
          </cell>
          <cell r="V29">
            <v>5.1550204647912574</v>
          </cell>
          <cell r="W29">
            <v>9.5907165949264003E-2</v>
          </cell>
          <cell r="X29">
            <v>-4.6258486994908699E-4</v>
          </cell>
        </row>
        <row r="30">
          <cell r="B30" t="str">
            <v>Pantene</v>
          </cell>
          <cell r="C30">
            <v>4.3233970677000002</v>
          </cell>
          <cell r="D30">
            <v>3.5009703776199999</v>
          </cell>
          <cell r="E30">
            <v>3.4445804002799991</v>
          </cell>
          <cell r="F30">
            <v>-0.19022696208597889</v>
          </cell>
          <cell r="G30">
            <v>-1.6106956431415242E-2</v>
          </cell>
          <cell r="I30">
            <v>12.72593365835</v>
          </cell>
          <cell r="J30">
            <v>10.54641954509</v>
          </cell>
          <cell r="K30">
            <v>10.71181827012</v>
          </cell>
          <cell r="L30">
            <v>-0.17126555675778898</v>
          </cell>
          <cell r="M30">
            <v>1.5682926733841418E-2</v>
          </cell>
          <cell r="O30">
            <v>48.933618915250001</v>
          </cell>
          <cell r="P30">
            <v>46.952875475420001</v>
          </cell>
          <cell r="R30">
            <v>-4.0478171934524743E-2</v>
          </cell>
          <cell r="T30" t="str">
            <v>Dove</v>
          </cell>
          <cell r="U30" t="str">
            <v>Unilver</v>
          </cell>
          <cell r="V30">
            <v>4.8296869910278195</v>
          </cell>
          <cell r="W30">
            <v>3.0822427796648851E-2</v>
          </cell>
          <cell r="X30">
            <v>-6.4400969734463784E-3</v>
          </cell>
        </row>
        <row r="31">
          <cell r="B31" t="str">
            <v xml:space="preserve">Clairol </v>
          </cell>
          <cell r="C31">
            <v>1.7775194230500004</v>
          </cell>
          <cell r="D31">
            <v>1.7618702468299996</v>
          </cell>
          <cell r="E31">
            <v>1.57171333408</v>
          </cell>
          <cell r="F31">
            <v>-8.8039410523845785E-3</v>
          </cell>
          <cell r="G31">
            <v>-0.10792901071582006</v>
          </cell>
          <cell r="I31">
            <v>4.8363192756900002</v>
          </cell>
          <cell r="J31">
            <v>5.6074816143700001</v>
          </cell>
          <cell r="K31">
            <v>5.0901648537800002</v>
          </cell>
          <cell r="L31">
            <v>0.15945232204918436</v>
          </cell>
          <cell r="M31">
            <v>-9.2254740392603174E-2</v>
          </cell>
          <cell r="O31">
            <v>23.251428414500001</v>
          </cell>
          <cell r="P31">
            <v>22.470813003389999</v>
          </cell>
          <cell r="R31">
            <v>-3.3572793773959941E-2</v>
          </cell>
          <cell r="T31" t="str">
            <v>L'Oreal</v>
          </cell>
          <cell r="U31" t="str">
            <v>L'Oreal</v>
          </cell>
          <cell r="V31">
            <v>4.7127301065172897</v>
          </cell>
          <cell r="W31">
            <v>3.7636412448333552E-2</v>
          </cell>
          <cell r="X31">
            <v>-5.559058032171306E-3</v>
          </cell>
        </row>
        <row r="32">
          <cell r="B32" t="str">
            <v>Dove</v>
          </cell>
          <cell r="C32">
            <v>0.79112171000000009</v>
          </cell>
          <cell r="D32">
            <v>0.90228271140999994</v>
          </cell>
          <cell r="E32">
            <v>0.62374345097000017</v>
          </cell>
          <cell r="F32">
            <v>0.14051061929522812</v>
          </cell>
          <cell r="G32">
            <v>-0.30870508424651699</v>
          </cell>
          <cell r="I32">
            <v>2.5006306900000004</v>
          </cell>
          <cell r="J32">
            <v>2.4593213570899999</v>
          </cell>
          <cell r="K32">
            <v>1.7980674689500002</v>
          </cell>
          <cell r="L32">
            <v>-1.6519565674050218E-2</v>
          </cell>
          <cell r="M32">
            <v>-0.26887656882808941</v>
          </cell>
          <cell r="O32">
            <v>10.782871230150002</v>
          </cell>
          <cell r="P32">
            <v>8.721217278550002</v>
          </cell>
          <cell r="R32">
            <v>-0.19119712250994958</v>
          </cell>
          <cell r="T32" t="str">
            <v>Pantene</v>
          </cell>
          <cell r="U32" t="str">
            <v>Procter &amp; Gamble</v>
          </cell>
          <cell r="V32">
            <v>4.6255408391244499</v>
          </cell>
          <cell r="W32">
            <v>0.15892618784546508</v>
          </cell>
          <cell r="X32">
            <v>-8.9651877518631962E-3</v>
          </cell>
        </row>
        <row r="33">
          <cell r="B33" t="str">
            <v>L'Oreal</v>
          </cell>
          <cell r="C33">
            <v>0.96499842277000014</v>
          </cell>
          <cell r="D33">
            <v>0.75969750668999991</v>
          </cell>
          <cell r="E33">
            <v>0.64323635961999992</v>
          </cell>
          <cell r="F33">
            <v>-0.21274741101720129</v>
          </cell>
          <cell r="G33">
            <v>-0.15329936724081261</v>
          </cell>
          <cell r="I33">
            <v>3.3701437827199996</v>
          </cell>
          <cell r="J33">
            <v>2.8621950657999995</v>
          </cell>
          <cell r="K33">
            <v>2.1159348406099996</v>
          </cell>
          <cell r="L33">
            <v>-0.15072019167978679</v>
          </cell>
          <cell r="M33">
            <v>-0.26073003692409624</v>
          </cell>
          <cell r="O33">
            <v>12.859757694480001</v>
          </cell>
          <cell r="P33">
            <v>10.913521248019999</v>
          </cell>
          <cell r="R33">
            <v>-0.15134316623208355</v>
          </cell>
          <cell r="T33" t="str">
            <v xml:space="preserve">Clairol </v>
          </cell>
          <cell r="U33" t="str">
            <v>Procter &amp; Gamble</v>
          </cell>
          <cell r="V33">
            <v>4.3467790516250755</v>
          </cell>
          <cell r="W33">
            <v>7.1475483705832787E-2</v>
          </cell>
          <cell r="X33">
            <v>6.0469444043853571E-4</v>
          </cell>
        </row>
        <row r="34">
          <cell r="B34" t="str">
            <v>Head &amp; Shoulders</v>
          </cell>
          <cell r="C34">
            <v>1.9798582238200002</v>
          </cell>
          <cell r="D34">
            <v>2.0025498428299997</v>
          </cell>
          <cell r="E34">
            <v>1.8616885763099997</v>
          </cell>
          <cell r="F34">
            <v>1.1461234313140611E-2</v>
          </cell>
          <cell r="G34">
            <v>-7.0340954071302919E-2</v>
          </cell>
          <cell r="I34">
            <v>5.98414129868</v>
          </cell>
          <cell r="J34">
            <v>6.4515222463199997</v>
          </cell>
          <cell r="K34">
            <v>6.0222311979399992</v>
          </cell>
          <cell r="L34">
            <v>7.8103260653804352E-2</v>
          </cell>
          <cell r="M34">
            <v>-6.6541047521749053E-2</v>
          </cell>
          <cell r="O34">
            <v>26.472275776710003</v>
          </cell>
          <cell r="P34">
            <v>25.424353132260002</v>
          </cell>
          <cell r="R34">
            <v>-3.9585665142244819E-2</v>
          </cell>
          <cell r="T34" t="str">
            <v>Private Label</v>
          </cell>
          <cell r="U34" t="str">
            <v>NA</v>
          </cell>
          <cell r="V34">
            <v>4.1505178962957014</v>
          </cell>
          <cell r="W34">
            <v>3.5828009289093868E-2</v>
          </cell>
          <cell r="X34">
            <v>6.7507690585831559E-3</v>
          </cell>
        </row>
        <row r="35">
          <cell r="B35" t="str">
            <v>Neutrogena</v>
          </cell>
          <cell r="C35">
            <v>0.25898496791000003</v>
          </cell>
          <cell r="D35">
            <v>0.25022505</v>
          </cell>
          <cell r="E35">
            <v>0.23867603999999998</v>
          </cell>
          <cell r="F35">
            <v>-3.3824039984607146E-2</v>
          </cell>
          <cell r="G35">
            <v>-4.6154491726547842E-2</v>
          </cell>
          <cell r="I35">
            <v>0.82163524532999999</v>
          </cell>
          <cell r="J35">
            <v>0.77499087000000011</v>
          </cell>
          <cell r="K35">
            <v>0.72600200542000004</v>
          </cell>
          <cell r="L35">
            <v>-5.6770173376953559E-2</v>
          </cell>
          <cell r="M35">
            <v>-6.3212182848037979E-2</v>
          </cell>
          <cell r="O35">
            <v>3.3401894214900003</v>
          </cell>
          <cell r="P35">
            <v>3.0287181779499996</v>
          </cell>
          <cell r="R35">
            <v>-9.3249574870235552E-2</v>
          </cell>
          <cell r="T35" t="str">
            <v>Shampoo Category</v>
          </cell>
          <cell r="U35" t="str">
            <v>NA</v>
          </cell>
          <cell r="V35">
            <v>3.8826186379780863</v>
          </cell>
          <cell r="W35">
            <v>1</v>
          </cell>
          <cell r="X35">
            <v>0</v>
          </cell>
        </row>
        <row r="36">
          <cell r="B36" t="str">
            <v>Matrix</v>
          </cell>
          <cell r="C36">
            <v>0.25546230332000003</v>
          </cell>
          <cell r="D36">
            <v>0.26554166120000006</v>
          </cell>
          <cell r="E36">
            <v>0.18941391132000002</v>
          </cell>
          <cell r="F36">
            <v>3.9455362881365419E-2</v>
          </cell>
          <cell r="G36">
            <v>-0.28668853518492643</v>
          </cell>
          <cell r="I36">
            <v>0.75435844567999988</v>
          </cell>
          <cell r="J36">
            <v>0.79021088464</v>
          </cell>
          <cell r="K36">
            <v>0.5845283213600001</v>
          </cell>
          <cell r="L36">
            <v>4.7527059802030536E-2</v>
          </cell>
          <cell r="M36">
            <v>-0.26028819303558903</v>
          </cell>
          <cell r="O36">
            <v>3.3837651799399997</v>
          </cell>
          <cell r="P36">
            <v>2.9111984541500004</v>
          </cell>
          <cell r="R36">
            <v>-0.13965706857896643</v>
          </cell>
          <cell r="T36" t="str">
            <v>Garnier Fructis</v>
          </cell>
          <cell r="U36" t="str">
            <v>L'Oreal</v>
          </cell>
          <cell r="V36">
            <v>3.6776359528289122</v>
          </cell>
          <cell r="W36">
            <v>6.061490427256299E-2</v>
          </cell>
          <cell r="X36">
            <v>-2.2070260986484583E-3</v>
          </cell>
        </row>
        <row r="37">
          <cell r="B37" t="str">
            <v>Pert Plus</v>
          </cell>
          <cell r="C37">
            <v>0.68863926628000005</v>
          </cell>
          <cell r="D37">
            <v>0.59620260720999996</v>
          </cell>
          <cell r="E37">
            <v>0.56432104419999995</v>
          </cell>
          <cell r="F37">
            <v>-0.13423088632360303</v>
          </cell>
          <cell r="G37">
            <v>-5.3474377039700483E-2</v>
          </cell>
          <cell r="I37">
            <v>2.0393837886300004</v>
          </cell>
          <cell r="J37">
            <v>1.8859173329400001</v>
          </cell>
          <cell r="K37">
            <v>1.9869176911099999</v>
          </cell>
          <cell r="L37">
            <v>-7.5251385514393365E-2</v>
          </cell>
          <cell r="M37">
            <v>5.3555029377956975E-2</v>
          </cell>
          <cell r="O37">
            <v>8.7870731181899977</v>
          </cell>
          <cell r="P37">
            <v>10.096162445559999</v>
          </cell>
          <cell r="R37">
            <v>0.14897899559525385</v>
          </cell>
          <cell r="T37" t="str">
            <v>Aussie</v>
          </cell>
          <cell r="U37" t="str">
            <v>Procter &amp; Gamble</v>
          </cell>
          <cell r="V37">
            <v>3.5671146592113177</v>
          </cell>
          <cell r="W37">
            <v>1.8676449773021953E-2</v>
          </cell>
          <cell r="X37">
            <v>-2.2933769882725955E-4</v>
          </cell>
        </row>
        <row r="38">
          <cell r="B38" t="str">
            <v>Aussie</v>
          </cell>
          <cell r="C38">
            <v>0.51682633331000005</v>
          </cell>
          <cell r="D38">
            <v>0.53169370674999994</v>
          </cell>
          <cell r="E38">
            <v>0.50366957351000008</v>
          </cell>
          <cell r="F38">
            <v>2.8766671668570387E-2</v>
          </cell>
          <cell r="G38">
            <v>-5.2707287831745386E-2</v>
          </cell>
          <cell r="I38">
            <v>1.6158124319100002</v>
          </cell>
          <cell r="J38">
            <v>1.70936491385</v>
          </cell>
          <cell r="K38">
            <v>1.5060103067200001</v>
          </cell>
          <cell r="L38">
            <v>5.7898107535547583E-2</v>
          </cell>
          <cell r="M38">
            <v>-0.11896500594012116</v>
          </cell>
          <cell r="O38">
            <v>7.6030719572700001</v>
          </cell>
          <cell r="P38">
            <v>7.1549483481400005</v>
          </cell>
          <cell r="R38">
            <v>-5.8939809020419287E-2</v>
          </cell>
          <cell r="T38" t="str">
            <v>Pert Plus</v>
          </cell>
          <cell r="U38" t="str">
            <v>Procter &amp; Gamble</v>
          </cell>
          <cell r="V38">
            <v>3.4988211801905753</v>
          </cell>
          <cell r="W38">
            <v>2.5849302482776278E-2</v>
          </cell>
          <cell r="X38">
            <v>3.1259686452224135E-3</v>
          </cell>
        </row>
        <row r="39">
          <cell r="B39" t="str">
            <v>Total Shampoo Category</v>
          </cell>
          <cell r="C39">
            <v>27.725280000000001</v>
          </cell>
          <cell r="D39">
            <v>27.14142</v>
          </cell>
          <cell r="E39">
            <v>25.55162</v>
          </cell>
          <cell r="F39">
            <v>-2.1058759370509605E-2</v>
          </cell>
          <cell r="G39">
            <v>-5.8574680322547645E-2</v>
          </cell>
          <cell r="I39">
            <v>83.280770000000004</v>
          </cell>
          <cell r="J39">
            <v>81.595079999999996</v>
          </cell>
          <cell r="K39">
            <v>79.051600000000008</v>
          </cell>
          <cell r="L39">
            <v>-2.0241047242959054E-2</v>
          </cell>
          <cell r="M39">
            <v>-3.1171977526095795E-2</v>
          </cell>
          <cell r="O39">
            <v>359.87939000000006</v>
          </cell>
          <cell r="P39">
            <v>351.96908000000002</v>
          </cell>
          <cell r="R39">
            <v>-2.1980447393778357E-2</v>
          </cell>
          <cell r="T39" t="str">
            <v>Tresemme</v>
          </cell>
          <cell r="U39" t="str">
            <v>Alberto Culver</v>
          </cell>
          <cell r="V39">
            <v>1.9812096826503975</v>
          </cell>
          <cell r="W39">
            <v>3.5591535903058483E-2</v>
          </cell>
          <cell r="X39">
            <v>4.3702123730460195E-3</v>
          </cell>
        </row>
        <row r="40">
          <cell r="T40" t="str">
            <v>Suave</v>
          </cell>
          <cell r="U40" t="str">
            <v>Unilver</v>
          </cell>
          <cell r="V40">
            <v>1.5916781012000518</v>
          </cell>
          <cell r="W40">
            <v>8.0378424297538678E-2</v>
          </cell>
          <cell r="X40">
            <v>3.1061386106808059E-3</v>
          </cell>
        </row>
        <row r="41">
          <cell r="B41" t="str">
            <v>Dollar Share</v>
          </cell>
          <cell r="T41" t="str">
            <v>Alberto VO5</v>
          </cell>
          <cell r="U41" t="str">
            <v>Alberto Culver</v>
          </cell>
          <cell r="V41">
            <v>1.0063023829529456</v>
          </cell>
          <cell r="W41">
            <v>2.2419117155667998E-2</v>
          </cell>
          <cell r="X41">
            <v>-3.5272242934338699E-5</v>
          </cell>
        </row>
        <row r="42">
          <cell r="B42" t="str">
            <v>Alberto VO5</v>
          </cell>
          <cell r="C42">
            <v>2.1405841016568585E-2</v>
          </cell>
          <cell r="D42">
            <v>2.3988918737116356E-2</v>
          </cell>
          <cell r="E42">
            <v>1.8747549201250522E-2</v>
          </cell>
          <cell r="F42">
            <v>2.5830777205477704E-3</v>
          </cell>
          <cell r="G42">
            <v>-5.2413695358658335E-3</v>
          </cell>
          <cell r="I42">
            <v>2.0708010989520766E-2</v>
          </cell>
          <cell r="J42">
            <v>2.128143989782541E-2</v>
          </cell>
          <cell r="K42">
            <v>2.1276403913016519E-2</v>
          </cell>
          <cell r="L42">
            <v>5.7342890830464413E-4</v>
          </cell>
          <cell r="M42">
            <v>-5.0359848088911419E-6</v>
          </cell>
          <cell r="O42">
            <v>2.2454389398602337E-2</v>
          </cell>
          <cell r="P42">
            <v>2.2419117155667998E-2</v>
          </cell>
          <cell r="R42">
            <v>-3.5272242934338699E-5</v>
          </cell>
        </row>
        <row r="43">
          <cell r="B43" t="str">
            <v>Tresemme</v>
          </cell>
          <cell r="C43">
            <v>3.0280343228813494E-2</v>
          </cell>
          <cell r="D43">
            <v>3.3770568063595435E-2</v>
          </cell>
          <cell r="E43">
            <v>3.5948494760706905E-2</v>
          </cell>
          <cell r="F43">
            <v>3.4902248347819416E-3</v>
          </cell>
          <cell r="G43">
            <v>2.1779266971114694E-3</v>
          </cell>
          <cell r="I43">
            <v>2.9329860195612446E-2</v>
          </cell>
          <cell r="J43">
            <v>3.2898301475332521E-2</v>
          </cell>
          <cell r="K43">
            <v>3.4855410118755349E-2</v>
          </cell>
          <cell r="L43">
            <v>3.5684412797200755E-3</v>
          </cell>
          <cell r="M43">
            <v>1.957108643422828E-3</v>
          </cell>
          <cell r="O43">
            <v>3.1221323530012463E-2</v>
          </cell>
          <cell r="P43">
            <v>3.5591535903058483E-2</v>
          </cell>
          <cell r="R43">
            <v>4.3702123730460195E-3</v>
          </cell>
        </row>
        <row r="44">
          <cell r="B44" t="str">
            <v>Nexxus</v>
          </cell>
          <cell r="C44">
            <v>2.113668249392851E-2</v>
          </cell>
          <cell r="D44">
            <v>2.0494796570099817E-2</v>
          </cell>
          <cell r="E44">
            <v>1.9900474285067502E-2</v>
          </cell>
          <cell r="F44">
            <v>-6.4188592382869239E-4</v>
          </cell>
          <cell r="G44">
            <v>-5.9432228503231502E-4</v>
          </cell>
          <cell r="I44">
            <v>1.988861499121718E-2</v>
          </cell>
          <cell r="J44">
            <v>1.9927075650390456E-2</v>
          </cell>
          <cell r="K44">
            <v>2.0171610090313038E-2</v>
          </cell>
          <cell r="L44">
            <v>3.8460659173275569E-5</v>
          </cell>
          <cell r="M44">
            <v>2.4453443992258211E-4</v>
          </cell>
          <cell r="O44">
            <v>2.0057200184608392E-2</v>
          </cell>
          <cell r="P44">
            <v>1.8915068920553904E-2</v>
          </cell>
          <cell r="R44">
            <v>-1.1421312640544877E-3</v>
          </cell>
        </row>
        <row r="45">
          <cell r="B45" t="str">
            <v>Suave</v>
          </cell>
          <cell r="C45">
            <v>7.2490893605566722E-2</v>
          </cell>
          <cell r="D45">
            <v>7.3120898383814678E-2</v>
          </cell>
          <cell r="E45">
            <v>8.9922212882152727E-2</v>
          </cell>
          <cell r="F45">
            <v>6.3000477824795564E-4</v>
          </cell>
          <cell r="G45">
            <v>1.6801314498338049E-2</v>
          </cell>
          <cell r="I45">
            <v>7.2148036547141164E-2</v>
          </cell>
          <cell r="J45">
            <v>7.2348710433296534E-2</v>
          </cell>
          <cell r="K45">
            <v>8.0585838042491989E-2</v>
          </cell>
          <cell r="L45">
            <v>2.0067388615536974E-4</v>
          </cell>
          <cell r="M45">
            <v>8.2371276091954548E-3</v>
          </cell>
          <cell r="O45">
            <v>7.7272285686857872E-2</v>
          </cell>
          <cell r="P45">
            <v>8.0378424297538678E-2</v>
          </cell>
          <cell r="R45">
            <v>3.1061386106808059E-3</v>
          </cell>
        </row>
        <row r="46">
          <cell r="B46" t="str">
            <v>Garnier Fructis</v>
          </cell>
          <cell r="C46">
            <v>5.6459646807248021E-2</v>
          </cell>
          <cell r="D46">
            <v>6.1296739154085358E-2</v>
          </cell>
          <cell r="E46">
            <v>5.6499809233918646E-2</v>
          </cell>
          <cell r="F46">
            <v>4.8370923468373378E-3</v>
          </cell>
          <cell r="G46">
            <v>-4.796929920166712E-3</v>
          </cell>
          <cell r="I46">
            <v>6.2947681011682161E-2</v>
          </cell>
          <cell r="J46">
            <v>6.4727950881671339E-2</v>
          </cell>
          <cell r="K46">
            <v>6.062622352618844E-2</v>
          </cell>
          <cell r="L46">
            <v>1.7802698699891789E-3</v>
          </cell>
          <cell r="M46">
            <v>-4.1017273554828995E-3</v>
          </cell>
          <cell r="O46">
            <v>6.2821930371211449E-2</v>
          </cell>
          <cell r="P46">
            <v>6.061490427256299E-2</v>
          </cell>
          <cell r="R46">
            <v>-2.2070260986484583E-3</v>
          </cell>
        </row>
        <row r="47">
          <cell r="B47" t="str">
            <v>Private Label</v>
          </cell>
          <cell r="C47">
            <v>2.7052508168954343E-2</v>
          </cell>
          <cell r="D47">
            <v>3.5259143168249206E-2</v>
          </cell>
          <cell r="E47">
            <v>3.4363820824860558E-2</v>
          </cell>
          <cell r="F47">
            <v>8.206634999294863E-3</v>
          </cell>
          <cell r="G47">
            <v>-8.9532234338864786E-4</v>
          </cell>
          <cell r="I47">
            <v>2.7852522805258895E-2</v>
          </cell>
          <cell r="J47">
            <v>3.3009000240163219E-2</v>
          </cell>
          <cell r="K47">
            <v>3.4306566630304382E-2</v>
          </cell>
          <cell r="L47">
            <v>5.1564774349043239E-3</v>
          </cell>
          <cell r="M47">
            <v>1.2975663901411624E-3</v>
          </cell>
          <cell r="O47">
            <v>2.9077240230510712E-2</v>
          </cell>
          <cell r="P47">
            <v>3.5828009289093868E-2</v>
          </cell>
          <cell r="R47">
            <v>6.7507690585831559E-3</v>
          </cell>
        </row>
        <row r="48">
          <cell r="B48" t="str">
            <v>Pantene</v>
          </cell>
          <cell r="C48">
            <v>0.17852539323713826</v>
          </cell>
          <cell r="D48">
            <v>0.15487420930943177</v>
          </cell>
          <cell r="E48">
            <v>0.15951551169349329</v>
          </cell>
          <cell r="F48">
            <v>-2.3651183927706487E-2</v>
          </cell>
          <cell r="G48">
            <v>4.6413023840615186E-3</v>
          </cell>
          <cell r="I48">
            <v>0.17742048210756833</v>
          </cell>
          <cell r="J48">
            <v>0.15591722315649981</v>
          </cell>
          <cell r="K48">
            <v>0.15844023297779919</v>
          </cell>
          <cell r="L48">
            <v>-2.1503258951068527E-2</v>
          </cell>
          <cell r="M48">
            <v>2.5230098212993823E-3</v>
          </cell>
          <cell r="O48">
            <v>0.16789137559732828</v>
          </cell>
          <cell r="P48">
            <v>0.15892618784546508</v>
          </cell>
          <cell r="R48">
            <v>-8.9651877518631962E-3</v>
          </cell>
        </row>
        <row r="49">
          <cell r="B49" t="str">
            <v xml:space="preserve">Clairol </v>
          </cell>
          <cell r="C49">
            <v>7.0386906318998924E-2</v>
          </cell>
          <cell r="D49">
            <v>7.2755337478205992E-2</v>
          </cell>
          <cell r="E49">
            <v>6.9760271653955902E-2</v>
          </cell>
          <cell r="F49">
            <v>2.3684311592070684E-3</v>
          </cell>
          <cell r="G49">
            <v>-2.9950658242500899E-3</v>
          </cell>
          <cell r="I49">
            <v>6.4785355528025584E-2</v>
          </cell>
          <cell r="J49">
            <v>7.3914189863998295E-2</v>
          </cell>
          <cell r="K49">
            <v>7.2232934159657869E-2</v>
          </cell>
          <cell r="L49">
            <v>9.1288343359727103E-3</v>
          </cell>
          <cell r="M49">
            <v>-1.6812557043404258E-3</v>
          </cell>
          <cell r="O49">
            <v>7.0870789265394252E-2</v>
          </cell>
          <cell r="P49">
            <v>7.1475483705832787E-2</v>
          </cell>
          <cell r="R49">
            <v>6.0469444043853571E-4</v>
          </cell>
        </row>
        <row r="50">
          <cell r="B50" t="str">
            <v>Dove</v>
          </cell>
          <cell r="C50">
            <v>3.6860722700159151E-2</v>
          </cell>
          <cell r="D50">
            <v>3.988948244229025E-2</v>
          </cell>
          <cell r="E50">
            <v>2.8516255379606035E-2</v>
          </cell>
          <cell r="F50">
            <v>3.0287597421310986E-3</v>
          </cell>
          <cell r="G50">
            <v>-1.1373227062684215E-2</v>
          </cell>
          <cell r="I50">
            <v>3.7253129691174773E-2</v>
          </cell>
          <cell r="J50">
            <v>3.6811092950281267E-2</v>
          </cell>
          <cell r="K50">
            <v>2.7562083962238484E-2</v>
          </cell>
          <cell r="L50">
            <v>-4.4203674089350609E-4</v>
          </cell>
          <cell r="M50">
            <v>-9.2490089880427825E-3</v>
          </cell>
          <cell r="O50">
            <v>3.7262524770095229E-2</v>
          </cell>
          <cell r="P50">
            <v>3.0822427796648851E-2</v>
          </cell>
          <cell r="R50">
            <v>-6.4400969734463784E-3</v>
          </cell>
        </row>
        <row r="51">
          <cell r="B51" t="str">
            <v>L'Oreal</v>
          </cell>
          <cell r="C51">
            <v>4.4861366686013565E-2</v>
          </cell>
          <cell r="D51">
            <v>3.5107535908659608E-2</v>
          </cell>
          <cell r="E51">
            <v>3.6765075670145544E-2</v>
          </cell>
          <cell r="F51">
            <v>-9.753830777353957E-3</v>
          </cell>
          <cell r="G51">
            <v>1.6575397614859363E-3</v>
          </cell>
          <cell r="I51">
            <v>4.8948171519050003E-2</v>
          </cell>
          <cell r="J51">
            <v>4.0383586192874583E-2</v>
          </cell>
          <cell r="K51">
            <v>3.6464175753863605E-2</v>
          </cell>
          <cell r="L51">
            <v>-8.5645853261754196E-3</v>
          </cell>
          <cell r="M51">
            <v>-3.9194104390109785E-3</v>
          </cell>
          <cell r="O51">
            <v>4.3195470480504858E-2</v>
          </cell>
          <cell r="P51">
            <v>3.7636412448333552E-2</v>
          </cell>
          <cell r="R51">
            <v>-5.559058032171306E-3</v>
          </cell>
        </row>
        <row r="52">
          <cell r="B52" t="str">
            <v>Head &amp; Shoulders</v>
          </cell>
          <cell r="C52">
            <v>9.4074242001028763E-2</v>
          </cell>
          <cell r="D52">
            <v>9.640338202443198E-2</v>
          </cell>
          <cell r="E52">
            <v>9.5429866547072126E-2</v>
          </cell>
          <cell r="F52">
            <v>2.3291400234032172E-3</v>
          </cell>
          <cell r="G52">
            <v>-9.7351547735985422E-4</v>
          </cell>
          <cell r="I52">
            <v>9.4635421901684863E-2</v>
          </cell>
          <cell r="J52">
            <v>0.10141122887606711</v>
          </cell>
          <cell r="K52">
            <v>9.960788253234007E-2</v>
          </cell>
          <cell r="L52">
            <v>6.7758069743822508E-3</v>
          </cell>
          <cell r="M52">
            <v>-1.8033463437270442E-3</v>
          </cell>
          <cell r="O52">
            <v>9.636975081921309E-2</v>
          </cell>
          <cell r="P52">
            <v>9.5907165949264003E-2</v>
          </cell>
          <cell r="R52">
            <v>-4.6258486994908699E-4</v>
          </cell>
        </row>
        <row r="53">
          <cell r="B53" t="str">
            <v>Neutrogena</v>
          </cell>
          <cell r="C53">
            <v>3.4113212823653837E-2</v>
          </cell>
          <cell r="D53">
            <v>3.3928931930823032E-2</v>
          </cell>
          <cell r="E53">
            <v>3.5061524981168012E-2</v>
          </cell>
          <cell r="F53">
            <v>-1.8428089283080429E-4</v>
          </cell>
          <cell r="G53">
            <v>1.1325930503449794E-3</v>
          </cell>
          <cell r="I53">
            <v>3.5907733387639286E-2</v>
          </cell>
          <cell r="J53">
            <v>3.4977358118011746E-2</v>
          </cell>
          <cell r="K53">
            <v>3.4776765758843378E-2</v>
          </cell>
          <cell r="L53">
            <v>-9.3037526962753969E-4</v>
          </cell>
          <cell r="M53">
            <v>-2.005923591683681E-4</v>
          </cell>
          <cell r="O53">
            <v>3.4079250319990491E-2</v>
          </cell>
          <cell r="P53">
            <v>3.2918505962756701E-2</v>
          </cell>
          <cell r="R53">
            <v>-1.1607443572337894E-3</v>
          </cell>
        </row>
        <row r="54">
          <cell r="B54" t="str">
            <v>Matrix</v>
          </cell>
          <cell r="C54">
            <v>3.1941729696765057E-2</v>
          </cell>
          <cell r="D54">
            <v>3.5751549083067428E-2</v>
          </cell>
          <cell r="E54">
            <v>2.8888031453419609E-2</v>
          </cell>
          <cell r="F54">
            <v>3.809819386302371E-3</v>
          </cell>
          <cell r="G54">
            <v>-6.8635176296478195E-3</v>
          </cell>
          <cell r="I54">
            <v>3.0584763948428888E-2</v>
          </cell>
          <cell r="J54">
            <v>3.4765967950652656E-2</v>
          </cell>
          <cell r="K54">
            <v>2.8511219952644665E-2</v>
          </cell>
          <cell r="L54">
            <v>4.1812040022237672E-3</v>
          </cell>
          <cell r="M54">
            <v>-6.2547479980079902E-3</v>
          </cell>
          <cell r="O54">
            <v>3.3584233078953009E-2</v>
          </cell>
          <cell r="P54">
            <v>3.1889767929814156E-2</v>
          </cell>
          <cell r="R54">
            <v>-1.6944651491388532E-3</v>
          </cell>
        </row>
        <row r="55">
          <cell r="B55" t="str">
            <v>Pert Plus</v>
          </cell>
          <cell r="C55">
            <v>2.3463658415394932E-2</v>
          </cell>
          <cell r="D55">
            <v>2.1277970124033048E-2</v>
          </cell>
          <cell r="E55">
            <v>2.0010033643589515E-2</v>
          </cell>
          <cell r="F55">
            <v>-2.1856882913618841E-3</v>
          </cell>
          <cell r="G55">
            <v>-1.2679364804435329E-3</v>
          </cell>
          <cell r="I55">
            <v>2.3001290017812391E-2</v>
          </cell>
          <cell r="J55">
            <v>2.1660708749616241E-2</v>
          </cell>
          <cell r="K55">
            <v>2.2276115548452539E-2</v>
          </cell>
          <cell r="L55">
            <v>-1.3405812681961497E-3</v>
          </cell>
          <cell r="M55">
            <v>6.1540679883629809E-4</v>
          </cell>
          <cell r="O55">
            <v>2.2723333837553865E-2</v>
          </cell>
          <cell r="P55">
            <v>2.5849302482776278E-2</v>
          </cell>
          <cell r="R55">
            <v>3.1259686452224135E-3</v>
          </cell>
        </row>
        <row r="56">
          <cell r="B56" t="str">
            <v>Aussie</v>
          </cell>
          <cell r="C56">
            <v>1.6940764582222982E-2</v>
          </cell>
          <cell r="D56">
            <v>1.7891503577574342E-2</v>
          </cell>
          <cell r="E56">
            <v>1.7671982334327294E-2</v>
          </cell>
          <cell r="F56">
            <v>9.5073899535135994E-4</v>
          </cell>
          <cell r="G56">
            <v>-2.195212432470478E-4</v>
          </cell>
          <cell r="I56">
            <v>1.6774723317546366E-2</v>
          </cell>
          <cell r="J56">
            <v>1.8664390904282582E-2</v>
          </cell>
          <cell r="K56">
            <v>1.7109273534604071E-2</v>
          </cell>
          <cell r="L56">
            <v>1.8896675867362163E-3</v>
          </cell>
          <cell r="M56">
            <v>-1.5551173696785117E-3</v>
          </cell>
          <cell r="O56">
            <v>1.8905787471849213E-2</v>
          </cell>
          <cell r="P56">
            <v>1.8676449773021953E-2</v>
          </cell>
          <cell r="R56">
            <v>-2.2933769882725955E-4</v>
          </cell>
        </row>
        <row r="57">
          <cell r="B57" t="str">
            <v>Total Shampoo Category</v>
          </cell>
          <cell r="C57">
            <v>1</v>
          </cell>
          <cell r="D57">
            <v>1</v>
          </cell>
          <cell r="E57">
            <v>1</v>
          </cell>
          <cell r="F57">
            <v>0</v>
          </cell>
          <cell r="G57">
            <v>0</v>
          </cell>
          <cell r="I57">
            <v>1</v>
          </cell>
          <cell r="J57">
            <v>1</v>
          </cell>
          <cell r="K57">
            <v>1</v>
          </cell>
          <cell r="L57">
            <v>0</v>
          </cell>
          <cell r="M57">
            <v>0</v>
          </cell>
          <cell r="O57">
            <v>1</v>
          </cell>
          <cell r="P57">
            <v>1</v>
          </cell>
          <cell r="R57">
            <v>0</v>
          </cell>
        </row>
        <row r="59">
          <cell r="B59" t="str">
            <v>Volume Share</v>
          </cell>
        </row>
        <row r="60">
          <cell r="B60" t="str">
            <v>Alberto VO5</v>
          </cell>
          <cell r="C60">
            <v>8.429308614989639E-2</v>
          </cell>
          <cell r="D60">
            <v>9.5066756228671917E-2</v>
          </cell>
          <cell r="E60">
            <v>7.1811115537488424E-2</v>
          </cell>
          <cell r="F60">
            <v>1.0773670078775527E-2</v>
          </cell>
          <cell r="G60">
            <v>-2.3255640691183493E-2</v>
          </cell>
          <cell r="I60">
            <v>7.9834175386826994E-2</v>
          </cell>
          <cell r="J60">
            <v>8.3248808368102598E-2</v>
          </cell>
          <cell r="K60">
            <v>8.5165562927505586E-2</v>
          </cell>
          <cell r="L60">
            <v>3.4146329812756032E-3</v>
          </cell>
          <cell r="M60">
            <v>1.9167545594029889E-3</v>
          </cell>
          <cell r="O60">
            <v>8.6079044031084961E-2</v>
          </cell>
          <cell r="P60">
            <v>8.6499727706280338E-2</v>
          </cell>
          <cell r="R60">
            <v>4.2068367519537686E-4</v>
          </cell>
        </row>
        <row r="61">
          <cell r="B61" t="str">
            <v>Tresemme</v>
          </cell>
          <cell r="C61">
            <v>6.2116744902486101E-2</v>
          </cell>
          <cell r="D61">
            <v>6.6226907325777351E-2</v>
          </cell>
          <cell r="E61">
            <v>6.6433381198530678E-2</v>
          </cell>
          <cell r="F61">
            <v>4.1101624232912498E-3</v>
          </cell>
          <cell r="G61">
            <v>2.0647387275332663E-4</v>
          </cell>
          <cell r="I61">
            <v>6.0492627902695897E-2</v>
          </cell>
          <cell r="J61">
            <v>6.649638584348469E-2</v>
          </cell>
          <cell r="K61">
            <v>6.5831888513072465E-2</v>
          </cell>
          <cell r="L61">
            <v>6.0037579407887925E-3</v>
          </cell>
          <cell r="M61">
            <v>-6.6449733041222536E-4</v>
          </cell>
          <cell r="O61">
            <v>6.2257633938025719E-2</v>
          </cell>
          <cell r="P61">
            <v>6.9749487831402682E-2</v>
          </cell>
          <cell r="R61">
            <v>7.4918538933769624E-3</v>
          </cell>
        </row>
        <row r="62">
          <cell r="B62" t="str">
            <v>Nexxus</v>
          </cell>
          <cell r="C62">
            <v>7.6146943309499497E-3</v>
          </cell>
          <cell r="D62">
            <v>7.6763483439702112E-3</v>
          </cell>
          <cell r="E62">
            <v>6.4622075602251451E-3</v>
          </cell>
          <cell r="F62">
            <v>6.1654013020261481E-5</v>
          </cell>
          <cell r="G62">
            <v>-1.2141407837450661E-3</v>
          </cell>
          <cell r="I62">
            <v>7.2730595243055514E-3</v>
          </cell>
          <cell r="J62">
            <v>7.7076970819809241E-3</v>
          </cell>
          <cell r="K62">
            <v>6.653498208764908E-3</v>
          </cell>
          <cell r="L62">
            <v>4.3463755767537277E-4</v>
          </cell>
          <cell r="M62">
            <v>-1.0541988732160161E-3</v>
          </cell>
          <cell r="O62">
            <v>7.4934546432069895E-3</v>
          </cell>
          <cell r="P62">
            <v>6.7687478050060526E-3</v>
          </cell>
          <cell r="R62">
            <v>-7.2470683820093692E-4</v>
          </cell>
        </row>
        <row r="63">
          <cell r="B63" t="str">
            <v>Suave</v>
          </cell>
          <cell r="C63">
            <v>0.17689527213286926</v>
          </cell>
          <cell r="D63">
            <v>0.18339876579817851</v>
          </cell>
          <cell r="E63">
            <v>0.21903272652653721</v>
          </cell>
          <cell r="F63">
            <v>6.5034936653092512E-3</v>
          </cell>
          <cell r="G63">
            <v>3.5633960728358699E-2</v>
          </cell>
          <cell r="I63">
            <v>0.17987204864340225</v>
          </cell>
          <cell r="J63">
            <v>0.18445108178507821</v>
          </cell>
          <cell r="K63">
            <v>0.19380072633773379</v>
          </cell>
          <cell r="L63">
            <v>4.5790331416759589E-3</v>
          </cell>
          <cell r="M63">
            <v>9.3496445526555783E-3</v>
          </cell>
          <cell r="O63">
            <v>0.19199436358300478</v>
          </cell>
          <cell r="P63">
            <v>0.1960690217661733</v>
          </cell>
          <cell r="R63">
            <v>4.0746581831685169E-3</v>
          </cell>
        </row>
        <row r="64">
          <cell r="B64" t="str">
            <v>Garnier Fructis</v>
          </cell>
          <cell r="C64">
            <v>5.5234384251484574E-2</v>
          </cell>
          <cell r="D64">
            <v>6.2764809284112627E-2</v>
          </cell>
          <cell r="E64">
            <v>6.0469748664468241E-2</v>
          </cell>
          <cell r="F64">
            <v>7.5304250326280534E-3</v>
          </cell>
          <cell r="G64">
            <v>-2.295060619644386E-3</v>
          </cell>
          <cell r="I64">
            <v>6.1615800490317278E-2</v>
          </cell>
          <cell r="J64">
            <v>6.5268047656795003E-2</v>
          </cell>
          <cell r="K64">
            <v>7.0122938661709572E-2</v>
          </cell>
          <cell r="L64">
            <v>3.6522471664777248E-3</v>
          </cell>
          <cell r="M64">
            <v>4.8548910049145688E-3</v>
          </cell>
          <cell r="O64">
            <v>6.1784841378940872E-2</v>
          </cell>
          <cell r="P64">
            <v>6.399343493661433E-2</v>
          </cell>
          <cell r="R64">
            <v>2.2085935576734578E-3</v>
          </cell>
        </row>
        <row r="65">
          <cell r="B65" t="str">
            <v>Private Label</v>
          </cell>
          <cell r="C65">
            <v>2.9598616857972222E-2</v>
          </cell>
          <cell r="D65">
            <v>3.4075916440628379E-2</v>
          </cell>
          <cell r="E65">
            <v>3.2430529062345163E-2</v>
          </cell>
          <cell r="F65">
            <v>4.4772995826561565E-3</v>
          </cell>
          <cell r="G65">
            <v>-1.6453873782832154E-3</v>
          </cell>
          <cell r="I65">
            <v>3.1342317560224292E-2</v>
          </cell>
          <cell r="J65">
            <v>3.1273793444408664E-2</v>
          </cell>
          <cell r="K65">
            <v>3.3281941137181276E-2</v>
          </cell>
          <cell r="L65">
            <v>-6.8524115815628284E-5</v>
          </cell>
          <cell r="M65">
            <v>2.0081476927726119E-3</v>
          </cell>
          <cell r="O65">
            <v>2.937831851387766E-2</v>
          </cell>
          <cell r="P65">
            <v>3.3515455204190088E-2</v>
          </cell>
          <cell r="R65">
            <v>4.1371366903124283E-3</v>
          </cell>
        </row>
        <row r="66">
          <cell r="B66" t="str">
            <v>Pantene</v>
          </cell>
          <cell r="C66">
            <v>0.15593700289771645</v>
          </cell>
          <cell r="D66">
            <v>0.12898994885381826</v>
          </cell>
          <cell r="E66">
            <v>0.13480868924475237</v>
          </cell>
          <cell r="F66">
            <v>-2.6947054043898189E-2</v>
          </cell>
          <cell r="G66">
            <v>5.8187403909341073E-3</v>
          </cell>
          <cell r="I66">
            <v>0.1528075888149209</v>
          </cell>
          <cell r="J66">
            <v>0.1292531307658501</v>
          </cell>
          <cell r="K66">
            <v>0.13550412983570223</v>
          </cell>
          <cell r="L66">
            <v>-2.3554458049070803E-2</v>
          </cell>
          <cell r="M66">
            <v>6.2509990698521312E-3</v>
          </cell>
          <cell r="O66">
            <v>0.13597227369772411</v>
          </cell>
          <cell r="P66">
            <v>0.13340056880968065</v>
          </cell>
          <cell r="R66">
            <v>-2.5717048880434523E-3</v>
          </cell>
        </row>
        <row r="67">
          <cell r="B67" t="str">
            <v xml:space="preserve">Clairol </v>
          </cell>
          <cell r="C67">
            <v>6.4111865526696232E-2</v>
          </cell>
          <cell r="D67">
            <v>6.4914446142832594E-2</v>
          </cell>
          <cell r="E67">
            <v>6.1511298856197771E-2</v>
          </cell>
          <cell r="F67">
            <v>8.0258061613636134E-4</v>
          </cell>
          <cell r="G67">
            <v>-3.4031472866348222E-3</v>
          </cell>
          <cell r="I67">
            <v>5.8072461093839553E-2</v>
          </cell>
          <cell r="J67">
            <v>6.8723281040597065E-2</v>
          </cell>
          <cell r="K67">
            <v>6.4390408970596419E-2</v>
          </cell>
          <cell r="L67">
            <v>1.0650819946757512E-2</v>
          </cell>
          <cell r="M67">
            <v>-4.3328720700006457E-3</v>
          </cell>
          <cell r="O67">
            <v>6.4608946943307863E-2</v>
          </cell>
          <cell r="P67">
            <v>6.3843144981343247E-2</v>
          </cell>
          <cell r="R67">
            <v>-7.6580196196461559E-4</v>
          </cell>
        </row>
        <row r="68">
          <cell r="B68" t="str">
            <v>Dove</v>
          </cell>
          <cell r="C68">
            <v>2.8534309121494898E-2</v>
          </cell>
          <cell r="D68">
            <v>3.3243754800227843E-2</v>
          </cell>
          <cell r="E68">
            <v>2.4411111740468908E-2</v>
          </cell>
          <cell r="F68">
            <v>4.7094456787329445E-3</v>
          </cell>
          <cell r="G68">
            <v>-8.832643059758935E-3</v>
          </cell>
          <cell r="I68">
            <v>3.0026507800059971E-2</v>
          </cell>
          <cell r="J68">
            <v>3.0140559419636576E-2</v>
          </cell>
          <cell r="K68">
            <v>2.2745491159571724E-2</v>
          </cell>
          <cell r="L68">
            <v>1.1405161957660573E-4</v>
          </cell>
          <cell r="M68">
            <v>-7.3950682600648528E-3</v>
          </cell>
          <cell r="O68">
            <v>2.9962458339584271E-2</v>
          </cell>
          <cell r="P68">
            <v>2.4778362004270381E-2</v>
          </cell>
          <cell r="R68">
            <v>-5.1840963353138904E-3</v>
          </cell>
        </row>
        <row r="69">
          <cell r="B69" t="str">
            <v>L'Oreal</v>
          </cell>
          <cell r="C69">
            <v>3.480572325220882E-2</v>
          </cell>
          <cell r="D69">
            <v>2.7990337524344707E-2</v>
          </cell>
          <cell r="E69">
            <v>2.5173995215176177E-2</v>
          </cell>
          <cell r="F69">
            <v>-6.8153857278641129E-3</v>
          </cell>
          <cell r="G69">
            <v>-2.8163423091685305E-3</v>
          </cell>
          <cell r="I69">
            <v>4.0467250515575197E-2</v>
          </cell>
          <cell r="J69">
            <v>3.5078034923184093E-2</v>
          </cell>
          <cell r="K69">
            <v>2.6766502393499935E-2</v>
          </cell>
          <cell r="L69">
            <v>-5.3892155923911042E-3</v>
          </cell>
          <cell r="M69">
            <v>-8.3115325296841576E-3</v>
          </cell>
          <cell r="O69">
            <v>3.5733520873423727E-2</v>
          </cell>
          <cell r="P69">
            <v>3.1007045414386963E-2</v>
          </cell>
          <cell r="R69">
            <v>-4.7264754590367643E-3</v>
          </cell>
        </row>
        <row r="70">
          <cell r="B70" t="str">
            <v>Head &amp; Shoulders</v>
          </cell>
          <cell r="C70">
            <v>7.1409854970626088E-2</v>
          </cell>
          <cell r="D70">
            <v>7.3782058670106412E-2</v>
          </cell>
          <cell r="E70">
            <v>7.285990384601837E-2</v>
          </cell>
          <cell r="F70">
            <v>2.3722036994803242E-3</v>
          </cell>
          <cell r="G70">
            <v>-9.2215482408804228E-4</v>
          </cell>
          <cell r="I70">
            <v>7.185501885585352E-2</v>
          </cell>
          <cell r="J70">
            <v>7.9067539934025433E-2</v>
          </cell>
          <cell r="K70">
            <v>7.6181015917957368E-2</v>
          </cell>
          <cell r="L70">
            <v>7.2125210781719129E-3</v>
          </cell>
          <cell r="M70">
            <v>-2.886524016068065E-3</v>
          </cell>
          <cell r="O70">
            <v>7.3558743602155155E-2</v>
          </cell>
          <cell r="P70">
            <v>7.2234621098705598E-2</v>
          </cell>
          <cell r="R70">
            <v>-1.3241225034495568E-3</v>
          </cell>
        </row>
        <row r="71">
          <cell r="B71" t="str">
            <v>Neutrogena</v>
          </cell>
          <cell r="C71">
            <v>9.3411128006642315E-3</v>
          </cell>
          <cell r="D71">
            <v>9.219305769558114E-3</v>
          </cell>
          <cell r="E71">
            <v>9.3409357214924126E-3</v>
          </cell>
          <cell r="F71">
            <v>-1.218070311061175E-4</v>
          </cell>
          <cell r="G71">
            <v>1.2162995193429858E-4</v>
          </cell>
          <cell r="I71">
            <v>9.8658459249356123E-3</v>
          </cell>
          <cell r="J71">
            <v>9.4980098064736274E-3</v>
          </cell>
          <cell r="K71">
            <v>9.183900204676439E-3</v>
          </cell>
          <cell r="L71">
            <v>-3.6783611846198487E-4</v>
          </cell>
          <cell r="M71">
            <v>-3.1410960179718839E-4</v>
          </cell>
          <cell r="O71">
            <v>9.2814134799161455E-3</v>
          </cell>
          <cell r="P71">
            <v>8.6050688826132104E-3</v>
          </cell>
          <cell r="R71">
            <v>-6.7634459730293514E-4</v>
          </cell>
        </row>
        <row r="72">
          <cell r="B72" t="str">
            <v>Matrix</v>
          </cell>
          <cell r="C72">
            <v>9.2140567496523038E-3</v>
          </cell>
          <cell r="D72">
            <v>9.7836318512443364E-3</v>
          </cell>
          <cell r="E72">
            <v>7.412990304332955E-3</v>
          </cell>
          <cell r="F72">
            <v>5.6957510159203265E-4</v>
          </cell>
          <cell r="G72">
            <v>-2.3706415469113814E-3</v>
          </cell>
          <cell r="I72">
            <v>9.0580147815636173E-3</v>
          </cell>
          <cell r="J72">
            <v>9.6845408404526365E-3</v>
          </cell>
          <cell r="K72">
            <v>7.3942630049233671E-3</v>
          </cell>
          <cell r="L72">
            <v>6.2652605888901917E-4</v>
          </cell>
          <cell r="M72">
            <v>-2.2902778355292693E-3</v>
          </cell>
          <cell r="O72">
            <v>9.40249782000575E-3</v>
          </cell>
          <cell r="P72">
            <v>8.2711767015159407E-3</v>
          </cell>
          <cell r="R72">
            <v>-1.1313211184898093E-3</v>
          </cell>
        </row>
        <row r="73">
          <cell r="B73" t="str">
            <v>Pert Plus</v>
          </cell>
          <cell r="C73">
            <v>2.4837955334626016E-2</v>
          </cell>
          <cell r="D73">
            <v>2.1966522282548223E-2</v>
          </cell>
          <cell r="E73">
            <v>2.2085528987985888E-2</v>
          </cell>
          <cell r="F73">
            <v>-2.8714330520777931E-3</v>
          </cell>
          <cell r="G73">
            <v>1.1900670543766451E-4</v>
          </cell>
          <cell r="I73">
            <v>2.448805154695376E-2</v>
          </cell>
          <cell r="J73">
            <v>2.3113125606838061E-2</v>
          </cell>
          <cell r="K73">
            <v>2.5134439924176105E-2</v>
          </cell>
          <cell r="L73">
            <v>-1.3749259401156996E-3</v>
          </cell>
          <cell r="M73">
            <v>2.0213143173380445E-3</v>
          </cell>
          <cell r="O73">
            <v>2.4416716717759235E-2</v>
          </cell>
          <cell r="P73">
            <v>2.8684799373740438E-2</v>
          </cell>
          <cell r="R73">
            <v>4.2680826559812028E-3</v>
          </cell>
        </row>
        <row r="74">
          <cell r="B74" t="str">
            <v>Aussie</v>
          </cell>
          <cell r="C74">
            <v>1.8640977956219017E-2</v>
          </cell>
          <cell r="D74">
            <v>1.9589752737697582E-2</v>
          </cell>
          <cell r="E74">
            <v>1.9711845022350835E-2</v>
          </cell>
          <cell r="F74">
            <v>9.4877478147856534E-4</v>
          </cell>
          <cell r="G74">
            <v>1.2209228465325309E-4</v>
          </cell>
          <cell r="I74">
            <v>1.9401987180353884E-2</v>
          </cell>
          <cell r="J74">
            <v>2.0949362557766964E-2</v>
          </cell>
          <cell r="K74">
            <v>1.9050978180327787E-2</v>
          </cell>
          <cell r="L74">
            <v>1.5473753774130801E-3</v>
          </cell>
          <cell r="M74">
            <v>-1.8983843774391766E-3</v>
          </cell>
          <cell r="O74">
            <v>2.1126722364595535E-2</v>
          </cell>
          <cell r="P74">
            <v>2.0328343467386396E-2</v>
          </cell>
          <cell r="R74">
            <v>-7.9837889720913921E-4</v>
          </cell>
        </row>
        <row r="75">
          <cell r="B75" t="str">
            <v>Total Shampoo Category</v>
          </cell>
          <cell r="C75">
            <v>1</v>
          </cell>
          <cell r="D75">
            <v>1</v>
          </cell>
          <cell r="E75">
            <v>1</v>
          </cell>
          <cell r="F75">
            <v>0</v>
          </cell>
          <cell r="G75">
            <v>0</v>
          </cell>
          <cell r="I75">
            <v>1</v>
          </cell>
          <cell r="J75">
            <v>1</v>
          </cell>
          <cell r="K75">
            <v>1</v>
          </cell>
          <cell r="L75">
            <v>0</v>
          </cell>
          <cell r="M75">
            <v>0</v>
          </cell>
          <cell r="O75">
            <v>1</v>
          </cell>
          <cell r="P75">
            <v>1</v>
          </cell>
          <cell r="R75">
            <v>0</v>
          </cell>
        </row>
        <row r="77">
          <cell r="B77" t="str">
            <v>Price/Mix Unit</v>
          </cell>
        </row>
        <row r="78">
          <cell r="B78" t="str">
            <v>Alberto VO5</v>
          </cell>
          <cell r="C78">
            <v>0.98472755280559865</v>
          </cell>
          <cell r="D78">
            <v>0.98276083039825324</v>
          </cell>
          <cell r="E78">
            <v>1.0471177986576257</v>
          </cell>
          <cell r="F78">
            <v>-1.9972249194633029E-3</v>
          </cell>
          <cell r="G78">
            <v>6.5485890634542798E-2</v>
          </cell>
          <cell r="I78">
            <v>1.0097981392835209</v>
          </cell>
          <cell r="J78">
            <v>1.0123116822252827</v>
          </cell>
          <cell r="K78">
            <v>0.99889159501780056</v>
          </cell>
          <cell r="L78">
            <v>2.4891538654896461E-3</v>
          </cell>
          <cell r="M78">
            <v>-1.3256872802239972E-2</v>
          </cell>
          <cell r="O78">
            <v>1.0185887066431358</v>
          </cell>
          <cell r="P78">
            <v>1.0063023829529456</v>
          </cell>
          <cell r="R78">
            <v>-1.2062104763247428E-2</v>
          </cell>
        </row>
        <row r="79">
          <cell r="B79" t="str">
            <v>Tresemme</v>
          </cell>
          <cell r="C79">
            <v>1.8902874586694642</v>
          </cell>
          <cell r="D79">
            <v>1.9859565031787487</v>
          </cell>
          <cell r="E79">
            <v>2.1703864343987918</v>
          </cell>
          <cell r="F79">
            <v>5.0610844435599267E-2</v>
          </cell>
          <cell r="G79">
            <v>9.2867054703787311E-2</v>
          </cell>
          <cell r="I79">
            <v>1.8875243570159939</v>
          </cell>
          <cell r="J79">
            <v>1.9591455410078102</v>
          </cell>
          <cell r="K79">
            <v>2.1169862493299463</v>
          </cell>
          <cell r="L79">
            <v>3.7944508491028373E-2</v>
          </cell>
          <cell r="M79">
            <v>8.0566096299788281E-2</v>
          </cell>
          <cell r="O79">
            <v>1.9581850935152834</v>
          </cell>
          <cell r="P79">
            <v>1.9812096826503975</v>
          </cell>
          <cell r="R79">
            <v>1.1758127059266377E-2</v>
          </cell>
        </row>
        <row r="80">
          <cell r="B80" t="str">
            <v>Nexxus</v>
          </cell>
          <cell r="C80">
            <v>10.763663145407065</v>
          </cell>
          <cell r="D80">
            <v>10.398118884848824</v>
          </cell>
          <cell r="E80">
            <v>12.35165739433894</v>
          </cell>
          <cell r="F80">
            <v>-3.3960953220114609E-2</v>
          </cell>
          <cell r="G80">
            <v>0.18787422332097314</v>
          </cell>
          <cell r="I80">
            <v>10.645655838134141</v>
          </cell>
          <cell r="J80">
            <v>10.237883818994501</v>
          </cell>
          <cell r="K80">
            <v>12.122011015714843</v>
          </cell>
          <cell r="L80">
            <v>-3.8304076830940503E-2</v>
          </cell>
          <cell r="M80">
            <v>0.18403482887984057</v>
          </cell>
          <cell r="O80">
            <v>10.451611745770174</v>
          </cell>
          <cell r="P80">
            <v>10.849864885683528</v>
          </cell>
          <cell r="R80">
            <v>3.8104471310324906E-2</v>
          </cell>
        </row>
        <row r="81">
          <cell r="B81" t="str">
            <v>Suave</v>
          </cell>
          <cell r="C81">
            <v>1.5890698086957018</v>
          </cell>
          <cell r="D81">
            <v>1.5527836548241889</v>
          </cell>
          <cell r="E81">
            <v>1.6466476907551013</v>
          </cell>
          <cell r="F81">
            <v>-2.2834839396575268E-2</v>
          </cell>
          <cell r="G81">
            <v>6.0448882005742055E-2</v>
          </cell>
          <cell r="I81">
            <v>1.5615139148934112</v>
          </cell>
          <cell r="J81">
            <v>1.5532481798181967</v>
          </cell>
          <cell r="K81">
            <v>1.6625988665131237</v>
          </cell>
          <cell r="L81">
            <v>-5.2934110905945575E-3</v>
          </cell>
          <cell r="M81">
            <v>7.0401297175655575E-2</v>
          </cell>
          <cell r="O81">
            <v>1.5715576666301796</v>
          </cell>
          <cell r="P81">
            <v>1.5916781012000518</v>
          </cell>
          <cell r="R81">
            <v>1.2802861133957455E-2</v>
          </cell>
        </row>
        <row r="82">
          <cell r="B82" t="str">
            <v>Garnier Fructis</v>
          </cell>
          <cell r="C82">
            <v>3.9637329676668136</v>
          </cell>
          <cell r="D82">
            <v>3.8035313401870199</v>
          </cell>
          <cell r="E82">
            <v>3.7475853354200792</v>
          </cell>
          <cell r="F82">
            <v>-4.0416856732428563E-2</v>
          </cell>
          <cell r="G82">
            <v>-1.4708963792628982E-2</v>
          </cell>
          <cell r="I82">
            <v>3.9771563418051463</v>
          </cell>
          <cell r="J82">
            <v>3.9271953252346403</v>
          </cell>
          <cell r="K82">
            <v>3.4568820562701217</v>
          </cell>
          <cell r="L82">
            <v>-1.2561994620465367E-2</v>
          </cell>
          <cell r="M82">
            <v>-0.11975805378012838</v>
          </cell>
          <cell r="O82">
            <v>3.9703096855458204</v>
          </cell>
          <cell r="P82">
            <v>3.6776359528289122</v>
          </cell>
          <cell r="R82">
            <v>-7.3715592963039311E-2</v>
          </cell>
        </row>
        <row r="83">
          <cell r="B83" t="str">
            <v>Private Label</v>
          </cell>
          <cell r="C83">
            <v>3.5441481576945622</v>
          </cell>
          <cell r="D83">
            <v>4.0298608529063085</v>
          </cell>
          <cell r="E83">
            <v>4.2500116951911169</v>
          </cell>
          <cell r="F83">
            <v>0.13704638564763005</v>
          </cell>
          <cell r="G83">
            <v>5.4629886817565199E-2</v>
          </cell>
          <cell r="I83">
            <v>3.4595407858657192</v>
          </cell>
          <cell r="J83">
            <v>4.1796803832673728</v>
          </cell>
          <cell r="K83">
            <v>4.1214758753206366</v>
          </cell>
          <cell r="L83">
            <v>0.20816045885160595</v>
          </cell>
          <cell r="M83">
            <v>-1.3925588229125818E-2</v>
          </cell>
          <cell r="O83">
            <v>3.8647489832774058</v>
          </cell>
          <cell r="P83">
            <v>4.1505178962957014</v>
          </cell>
          <cell r="R83">
            <v>7.3942425304930559E-2</v>
          </cell>
        </row>
        <row r="84">
          <cell r="B84" t="str">
            <v>Pantene</v>
          </cell>
          <cell r="C84">
            <v>4.4394233733684496</v>
          </cell>
          <cell r="D84">
            <v>4.6761568768625956</v>
          </cell>
          <cell r="E84">
            <v>4.7460001565593082</v>
          </cell>
          <cell r="F84">
            <v>5.33252820432224E-2</v>
          </cell>
          <cell r="G84">
            <v>1.4936042895030699E-2</v>
          </cell>
          <cell r="I84">
            <v>4.520056413900722</v>
          </cell>
          <cell r="J84">
            <v>4.7768794955207792</v>
          </cell>
          <cell r="K84">
            <v>4.6751666311352551</v>
          </cell>
          <cell r="L84">
            <v>5.6818556695495737E-2</v>
          </cell>
          <cell r="M84">
            <v>-2.1292742360551231E-2</v>
          </cell>
          <cell r="O84">
            <v>4.8213989592869391</v>
          </cell>
          <cell r="P84">
            <v>4.6255408391244499</v>
          </cell>
          <cell r="R84">
            <v>-4.0622674418019034E-2</v>
          </cell>
        </row>
        <row r="85">
          <cell r="B85" t="str">
            <v xml:space="preserve">Clairol </v>
          </cell>
          <cell r="C85">
            <v>4.2572505656255402</v>
          </cell>
          <cell r="D85">
            <v>4.3650512236682655</v>
          </cell>
          <cell r="E85">
            <v>4.5487909515604441</v>
          </cell>
          <cell r="F85">
            <v>2.5321661570296916E-2</v>
          </cell>
          <cell r="G85">
            <v>4.2093372672444618E-2</v>
          </cell>
          <cell r="I85">
            <v>4.3430180849946707</v>
          </cell>
          <cell r="J85">
            <v>4.2590741478023046</v>
          </cell>
          <cell r="K85">
            <v>4.4853695140217908</v>
          </cell>
          <cell r="L85">
            <v>-1.9328479769033513E-2</v>
          </cell>
          <cell r="M85">
            <v>5.313252560682824E-2</v>
          </cell>
          <cell r="O85">
            <v>4.2832127729435934</v>
          </cell>
          <cell r="P85">
            <v>4.3467790516250755</v>
          </cell>
          <cell r="R85">
            <v>1.484079406071559E-2</v>
          </cell>
        </row>
        <row r="86">
          <cell r="B86" t="str">
            <v>Dove</v>
          </cell>
          <cell r="C86">
            <v>5.0092445320455177</v>
          </cell>
          <cell r="D86">
            <v>4.6731978911695995</v>
          </cell>
          <cell r="E86">
            <v>4.6854105342270955</v>
          </cell>
          <cell r="F86">
            <v>-6.7085293745620778E-2</v>
          </cell>
          <cell r="G86">
            <v>2.613337449409725E-3</v>
          </cell>
          <cell r="I86">
            <v>4.8299536426148544</v>
          </cell>
          <cell r="J86">
            <v>4.836360538573051</v>
          </cell>
          <cell r="K86">
            <v>4.845079258642798</v>
          </cell>
          <cell r="L86">
            <v>1.326492225860898E-3</v>
          </cell>
          <cell r="M86">
            <v>1.8027440262589067E-3</v>
          </cell>
          <cell r="O86">
            <v>4.8561252171766469</v>
          </cell>
          <cell r="P86">
            <v>4.8296869910278195</v>
          </cell>
          <cell r="R86">
            <v>-5.4443048658038284E-3</v>
          </cell>
        </row>
        <row r="87">
          <cell r="B87" t="str">
            <v>L'Oreal</v>
          </cell>
          <cell r="C87">
            <v>4.9980153558443083</v>
          </cell>
          <cell r="D87">
            <v>4.8849267317844802</v>
          </cell>
          <cell r="E87">
            <v>5.8576852454297228</v>
          </cell>
          <cell r="F87">
            <v>-2.262670600393224E-2</v>
          </cell>
          <cell r="G87">
            <v>0.19913471932257432</v>
          </cell>
          <cell r="I87">
            <v>4.7088818999324245</v>
          </cell>
          <cell r="J87">
            <v>4.55890867523485</v>
          </cell>
          <cell r="K87">
            <v>5.4470194962512748</v>
          </cell>
          <cell r="L87">
            <v>-3.1849009570557807E-2</v>
          </cell>
          <cell r="M87">
            <v>0.19480776744681649</v>
          </cell>
          <cell r="O87">
            <v>4.7201678319246501</v>
          </cell>
          <cell r="P87">
            <v>4.7127301065172897</v>
          </cell>
          <cell r="R87">
            <v>-1.575733251910183E-3</v>
          </cell>
        </row>
        <row r="88">
          <cell r="B88" t="str">
            <v>Head &amp; Shoulders</v>
          </cell>
          <cell r="C88">
            <v>5.1084403356851276</v>
          </cell>
          <cell r="D88">
            <v>5.0887057896441483</v>
          </cell>
          <cell r="E88">
            <v>5.2533753945221893</v>
          </cell>
          <cell r="F88">
            <v>-3.8631254833541018E-3</v>
          </cell>
          <cell r="G88">
            <v>3.2359820293237362E-2</v>
          </cell>
          <cell r="I88">
            <v>5.127216285830003</v>
          </cell>
          <cell r="J88">
            <v>5.0790101919373765</v>
          </cell>
          <cell r="K88">
            <v>5.2279461055861773</v>
          </cell>
          <cell r="L88">
            <v>-9.4020012430240385E-3</v>
          </cell>
          <cell r="M88">
            <v>2.9323806808899011E-2</v>
          </cell>
          <cell r="O88">
            <v>5.1156576788201056</v>
          </cell>
          <cell r="P88">
            <v>5.1550204647912574</v>
          </cell>
          <cell r="R88">
            <v>7.694569973694998E-3</v>
          </cell>
        </row>
        <row r="89">
          <cell r="B89" t="str">
            <v>Neutrogena</v>
          </cell>
          <cell r="C89">
            <v>14.161190201566088</v>
          </cell>
          <cell r="D89">
            <v>14.333023412324225</v>
          </cell>
          <cell r="E89">
            <v>15.05508219425796</v>
          </cell>
          <cell r="F89">
            <v>1.2134093837616433E-2</v>
          </cell>
          <cell r="G89">
            <v>5.0377283365969694E-2</v>
          </cell>
          <cell r="I89">
            <v>14.168983228396241</v>
          </cell>
          <cell r="J89">
            <v>14.582959022472094</v>
          </cell>
          <cell r="K89">
            <v>15.140708147040037</v>
          </cell>
          <cell r="L89">
            <v>2.9217043128839215E-2</v>
          </cell>
          <cell r="M89">
            <v>3.8246635933657958E-2</v>
          </cell>
          <cell r="O89">
            <v>14.337418231396962</v>
          </cell>
          <cell r="P89">
            <v>14.852874105823339</v>
          </cell>
          <cell r="R89">
            <v>3.595179174571328E-2</v>
          </cell>
        </row>
        <row r="90">
          <cell r="B90" t="str">
            <v>Matrix</v>
          </cell>
          <cell r="C90">
            <v>13.442600627492061</v>
          </cell>
          <cell r="D90">
            <v>14.231825261737873</v>
          </cell>
          <cell r="E90">
            <v>15.630296953787646</v>
          </cell>
          <cell r="F90">
            <v>5.8710710532583477E-2</v>
          </cell>
          <cell r="G90">
            <v>9.826369185472994E-2</v>
          </cell>
          <cell r="I90">
            <v>13.144895292703289</v>
          </cell>
          <cell r="J90">
            <v>14.215644558145554</v>
          </cell>
          <cell r="K90">
            <v>15.41718417289453</v>
          </cell>
          <cell r="L90">
            <v>8.1457420664022839E-2</v>
          </cell>
          <cell r="M90">
            <v>8.452234507090961E-2</v>
          </cell>
          <cell r="O90">
            <v>13.947206660317617</v>
          </cell>
          <cell r="P90">
            <v>14.969551708694524</v>
          </cell>
          <cell r="R90">
            <v>7.3301061156974656E-2</v>
          </cell>
        </row>
        <row r="91">
          <cell r="B91" t="str">
            <v>Pert Plus</v>
          </cell>
          <cell r="C91">
            <v>3.6631578597412067</v>
          </cell>
          <cell r="D91">
            <v>3.7725476194500525</v>
          </cell>
          <cell r="E91">
            <v>3.6339816156903839</v>
          </cell>
          <cell r="F91">
            <v>2.9862147332240241E-2</v>
          </cell>
          <cell r="G91">
            <v>-3.6730087393798905E-2</v>
          </cell>
          <cell r="I91">
            <v>3.6566465721048038</v>
          </cell>
          <cell r="J91">
            <v>3.7111221475064879</v>
          </cell>
          <cell r="K91">
            <v>3.5436792335552245</v>
          </cell>
          <cell r="L91">
            <v>1.4897686808798438E-2</v>
          </cell>
          <cell r="M91">
            <v>-4.5119213891617327E-2</v>
          </cell>
          <cell r="O91">
            <v>3.6339573549374844</v>
          </cell>
          <cell r="P91">
            <v>3.4988211801905753</v>
          </cell>
          <cell r="R91">
            <v>-3.7187055748823972E-2</v>
          </cell>
        </row>
        <row r="92">
          <cell r="B92" t="str">
            <v>Aussie</v>
          </cell>
          <cell r="C92">
            <v>3.5240337834673561</v>
          </cell>
          <cell r="D92">
            <v>3.5569988617699591</v>
          </cell>
          <cell r="E92">
            <v>3.5958428683880803</v>
          </cell>
          <cell r="F92">
            <v>9.354359330280948E-3</v>
          </cell>
          <cell r="G92">
            <v>1.0920443926932366E-2</v>
          </cell>
          <cell r="I92">
            <v>3.3658454881184663</v>
          </cell>
          <cell r="J92">
            <v>3.5280462866802513</v>
          </cell>
          <cell r="K92">
            <v>3.5908597569680771</v>
          </cell>
          <cell r="L92">
            <v>4.8190209305316811E-2</v>
          </cell>
          <cell r="M92">
            <v>1.7804038037984693E-2</v>
          </cell>
          <cell r="O92">
            <v>3.4942798877362438</v>
          </cell>
          <cell r="P92">
            <v>3.5671146592113177</v>
          </cell>
          <cell r="R92">
            <v>2.084400042787049E-2</v>
          </cell>
        </row>
        <row r="93">
          <cell r="B93" t="str">
            <v>Total Shampoo Category</v>
          </cell>
          <cell r="C93">
            <v>3.8777137688059415</v>
          </cell>
          <cell r="D93">
            <v>3.894626736552472</v>
          </cell>
          <cell r="E93">
            <v>4.0109081146322625</v>
          </cell>
          <cell r="F93">
            <v>4.3615823020735078E-3</v>
          </cell>
          <cell r="G93">
            <v>2.9856873571078912E-2</v>
          </cell>
          <cell r="I93">
            <v>3.8930055521820939</v>
          </cell>
          <cell r="J93">
            <v>3.9599642527466115</v>
          </cell>
          <cell r="K93">
            <v>3.9983808044365952</v>
          </cell>
          <cell r="L93">
            <v>1.7199744430620223E-2</v>
          </cell>
          <cell r="M93">
            <v>9.701236990545592E-3</v>
          </cell>
          <cell r="O93">
            <v>3.9047662607186249</v>
          </cell>
          <cell r="P93">
            <v>3.8826186379780863</v>
          </cell>
          <cell r="R93">
            <v>-5.6719458379212995E-3</v>
          </cell>
        </row>
      </sheetData>
      <sheetData sheetId="15">
        <row r="1">
          <cell r="A1" t="str">
            <v>TOP 15 SHAMPOO BRANDS (PLUS PRIVATE LABEL)</v>
          </cell>
        </row>
        <row r="2">
          <cell r="A2" t="str">
            <v>PRICE POINT/MARKET SHARE ANALYSIS</v>
          </cell>
        </row>
        <row r="5">
          <cell r="B5" t="str">
            <v>13 Week Data</v>
          </cell>
          <cell r="H5" t="str">
            <v>12 Week Data (Sorted based on 52-Week Price Per Bottle)</v>
          </cell>
        </row>
        <row r="6">
          <cell r="D6" t="str">
            <v>Unit Price</v>
          </cell>
          <cell r="E6" t="str">
            <v>Market Share</v>
          </cell>
          <cell r="J6" t="str">
            <v>Price/Mix</v>
          </cell>
          <cell r="K6" t="str">
            <v>Market Share</v>
          </cell>
        </row>
        <row r="7">
          <cell r="B7" t="str">
            <v>Brand</v>
          </cell>
          <cell r="C7" t="str">
            <v>Company</v>
          </cell>
          <cell r="D7" t="str">
            <v>Per Bottle</v>
          </cell>
          <cell r="E7" t="str">
            <v>$</v>
          </cell>
          <cell r="F7" t="str">
            <v>YoY ∆</v>
          </cell>
          <cell r="H7" t="str">
            <v>Brand</v>
          </cell>
          <cell r="I7" t="str">
            <v>Company</v>
          </cell>
          <cell r="J7" t="str">
            <v>Per Bottle</v>
          </cell>
          <cell r="K7" t="str">
            <v>$</v>
          </cell>
          <cell r="L7" t="str">
            <v>YoY ∆</v>
          </cell>
        </row>
        <row r="8">
          <cell r="B8" t="str">
            <v xml:space="preserve">&gt; $5 Per Bottle </v>
          </cell>
          <cell r="H8" t="str">
            <v xml:space="preserve">&gt; $5 Per Bottle </v>
          </cell>
        </row>
        <row r="9">
          <cell r="B9" t="str">
            <v>Matrix</v>
          </cell>
          <cell r="C9" t="str">
            <v>L'Oreal</v>
          </cell>
          <cell r="D9">
            <v>18.488308378378374</v>
          </cell>
          <cell r="E9">
            <v>2.4882500000000002E-2</v>
          </cell>
          <cell r="F9">
            <v>-4.4419000000000073E-3</v>
          </cell>
          <cell r="H9" t="str">
            <v>Matrix</v>
          </cell>
          <cell r="I9" t="str">
            <v>L'Oreal</v>
          </cell>
          <cell r="J9">
            <v>16.248714615384618</v>
          </cell>
          <cell r="K9">
            <v>2.8335700000000005E-2</v>
          </cell>
          <cell r="L9">
            <v>-7.4297000000000061E-3</v>
          </cell>
        </row>
        <row r="10">
          <cell r="B10" t="str">
            <v>Neutrogena</v>
          </cell>
          <cell r="C10" t="str">
            <v>Johnson &amp; Johson</v>
          </cell>
          <cell r="D10">
            <v>14.90543111111111</v>
          </cell>
          <cell r="E10">
            <v>3.0793699999999993E-2</v>
          </cell>
          <cell r="F10">
            <v>-2.7562000000000086E-3</v>
          </cell>
          <cell r="H10" t="str">
            <v>Neutrogena</v>
          </cell>
          <cell r="I10" t="str">
            <v>Johnson &amp; Johson</v>
          </cell>
          <cell r="J10">
            <v>13.707958</v>
          </cell>
          <cell r="K10">
            <v>3.22338E-2</v>
          </cell>
          <cell r="L10">
            <v>1.8631999999999937E-3</v>
          </cell>
        </row>
        <row r="11">
          <cell r="B11" t="str">
            <v>L'Oreal</v>
          </cell>
          <cell r="C11" t="str">
            <v>L'Oreal</v>
          </cell>
          <cell r="D11">
            <v>13.797851176470587</v>
          </cell>
          <cell r="E11">
            <v>4.0387699999999999E-2</v>
          </cell>
          <cell r="F11">
            <v>2.3060999999999954E-3</v>
          </cell>
          <cell r="H11" t="str">
            <v>L'Oreal</v>
          </cell>
          <cell r="I11" t="str">
            <v>L'Oreal</v>
          </cell>
          <cell r="J11">
            <v>5.5615663636363646</v>
          </cell>
          <cell r="K11">
            <v>3.8973800000000003E-2</v>
          </cell>
          <cell r="L11">
            <v>-2.8609999999999579E-4</v>
          </cell>
        </row>
        <row r="12">
          <cell r="B12" t="str">
            <v>Selsun Blue</v>
          </cell>
          <cell r="C12" t="str">
            <v>Reckitt Benckiser</v>
          </cell>
          <cell r="D12">
            <v>11.109187499999999</v>
          </cell>
          <cell r="E12">
            <v>2.1079499999999998E-2</v>
          </cell>
          <cell r="F12">
            <v>-9.1270000000000186E-4</v>
          </cell>
          <cell r="H12" t="str">
            <v>Selsun Blue</v>
          </cell>
          <cell r="I12" t="str">
            <v>Chattem</v>
          </cell>
          <cell r="J12">
            <v>10.625832000000001</v>
          </cell>
          <cell r="K12">
            <v>2.0501500000000002E-2</v>
          </cell>
          <cell r="L12">
            <v>1.664800000000004E-3</v>
          </cell>
        </row>
        <row r="13">
          <cell r="B13" t="str">
            <v>Nexxus</v>
          </cell>
          <cell r="C13" t="str">
            <v>Alberto-Culver</v>
          </cell>
          <cell r="D13">
            <v>9.9055516666666676</v>
          </cell>
          <cell r="E13">
            <v>1.6883700000000001E-2</v>
          </cell>
          <cell r="F13">
            <v>-2.4636999999999997E-3</v>
          </cell>
          <cell r="H13" t="str">
            <v>Nexxus</v>
          </cell>
          <cell r="I13" t="str">
            <v>Alberto-Culver</v>
          </cell>
          <cell r="J13">
            <v>12.754238666666668</v>
          </cell>
          <cell r="K13">
            <v>1.9258399999999998E-2</v>
          </cell>
          <cell r="L13">
            <v>7.1039999999999775E-4</v>
          </cell>
        </row>
        <row r="14">
          <cell r="B14" t="str">
            <v>Head &amp; Shoulders</v>
          </cell>
          <cell r="C14" t="str">
            <v>Procter &amp; Gamble</v>
          </cell>
          <cell r="D14">
            <v>6.3618099999999993</v>
          </cell>
          <cell r="E14">
            <v>0.1160571</v>
          </cell>
          <cell r="F14">
            <v>2.5059000000000075E-3</v>
          </cell>
          <cell r="H14" t="str">
            <v>Head &amp; Shoulders</v>
          </cell>
          <cell r="I14" t="str">
            <v>Procter &amp; Gamble</v>
          </cell>
          <cell r="J14">
            <v>5.4152794736842109</v>
          </cell>
          <cell r="K14">
            <v>0.11479289999999998</v>
          </cell>
          <cell r="L14">
            <v>-3.293500000000016E-3</v>
          </cell>
        </row>
        <row r="15">
          <cell r="B15" t="str">
            <v xml:space="preserve">  Subtotal </v>
          </cell>
          <cell r="E15">
            <v>0.25008419999999998</v>
          </cell>
          <cell r="F15">
            <v>-5.7625000000000159E-3</v>
          </cell>
          <cell r="H15" t="str">
            <v xml:space="preserve">  Subtotal </v>
          </cell>
          <cell r="K15">
            <v>0.25409609999999999</v>
          </cell>
          <cell r="L15">
            <v>-6.7709000000000224E-3</v>
          </cell>
        </row>
        <row r="16">
          <cell r="B16" t="str">
            <v xml:space="preserve">$3-5 Per Bottle </v>
          </cell>
          <cell r="H16" t="str">
            <v xml:space="preserve">$3-5 Per Bottle </v>
          </cell>
        </row>
        <row r="17">
          <cell r="B17" t="str">
            <v>Pantene</v>
          </cell>
          <cell r="C17" t="str">
            <v>Procter &amp; Gamble</v>
          </cell>
          <cell r="D17">
            <v>4.8899999999999997</v>
          </cell>
          <cell r="E17">
            <v>0.15763759999999999</v>
          </cell>
          <cell r="F17">
            <v>8.9699999999998776E-4</v>
          </cell>
          <cell r="H17" t="str">
            <v>Pantene</v>
          </cell>
          <cell r="I17" t="str">
            <v>Procter &amp; Gamble</v>
          </cell>
          <cell r="J17">
            <v>5.005718571428571</v>
          </cell>
          <cell r="K17">
            <v>0.15691810000000003</v>
          </cell>
          <cell r="L17">
            <v>2.5841000000000314E-3</v>
          </cell>
        </row>
        <row r="18">
          <cell r="B18" t="str">
            <v>Dove</v>
          </cell>
          <cell r="C18" t="str">
            <v>Unilver</v>
          </cell>
          <cell r="D18">
            <v>4.4547094999999999</v>
          </cell>
          <cell r="E18">
            <v>3.2070500000000002E-2</v>
          </cell>
          <cell r="F18">
            <v>5.3949999999999944E-3</v>
          </cell>
          <cell r="H18" t="str">
            <v>Dove</v>
          </cell>
          <cell r="I18" t="str">
            <v>Unilver</v>
          </cell>
          <cell r="J18">
            <v>4.7493845454545438</v>
          </cell>
          <cell r="K18">
            <v>2.6602300000000002E-2</v>
          </cell>
          <cell r="L18">
            <v>-7.3301999999999977E-3</v>
          </cell>
        </row>
        <row r="19">
          <cell r="B19" t="str">
            <v>Aussie</v>
          </cell>
          <cell r="C19" t="str">
            <v>Procter &amp; Gamble</v>
          </cell>
          <cell r="D19">
            <v>4.4158727272727276</v>
          </cell>
          <cell r="E19">
            <v>1.9551799999999998E-2</v>
          </cell>
          <cell r="F19">
            <v>9.6099999999999853E-4</v>
          </cell>
          <cell r="H19" t="str">
            <v>Clairol</v>
          </cell>
          <cell r="I19" t="str">
            <v>Procter &amp; Gamble</v>
          </cell>
          <cell r="J19">
            <v>4.4845443478260867</v>
          </cell>
          <cell r="K19">
            <v>7.1300200000000008E-2</v>
          </cell>
          <cell r="L19">
            <v>-7.8999999999998852E-4</v>
          </cell>
        </row>
        <row r="20">
          <cell r="B20" t="str">
            <v>Garnier Fructis</v>
          </cell>
          <cell r="C20" t="str">
            <v>L'Oreal</v>
          </cell>
          <cell r="D20">
            <v>4.32</v>
          </cell>
          <cell r="E20">
            <v>5.4505799999999993E-2</v>
          </cell>
          <cell r="F20">
            <v>-5.0771999999999996E-3</v>
          </cell>
          <cell r="H20" t="str">
            <v>Private Label</v>
          </cell>
          <cell r="I20" t="str">
            <v>NA</v>
          </cell>
          <cell r="J20">
            <v>4.2263250000000001</v>
          </cell>
          <cell r="K20">
            <v>3.1325499999999999E-2</v>
          </cell>
          <cell r="L20">
            <v>-3.7063999999999986E-3</v>
          </cell>
        </row>
        <row r="21">
          <cell r="B21" t="str">
            <v>Clairol</v>
          </cell>
          <cell r="C21" t="str">
            <v>Procter &amp; Gamble</v>
          </cell>
          <cell r="D21">
            <v>4.1234827999999997</v>
          </cell>
          <cell r="E21">
            <v>6.8442599999999992E-2</v>
          </cell>
          <cell r="F21">
            <v>-4.3703000000000092E-3</v>
          </cell>
          <cell r="H21" t="str">
            <v>Aussie</v>
          </cell>
          <cell r="I21" t="str">
            <v>Procter &amp; Gamble</v>
          </cell>
          <cell r="J21">
            <v>4.0869800000000005</v>
          </cell>
          <cell r="K21">
            <v>1.8101799999999998E-2</v>
          </cell>
          <cell r="L21">
            <v>-3.5779999999999921E-4</v>
          </cell>
        </row>
        <row r="22">
          <cell r="B22" t="str">
            <v>Private Label</v>
          </cell>
          <cell r="C22" t="str">
            <v>NA</v>
          </cell>
          <cell r="D22">
            <v>4.0465600000000004</v>
          </cell>
          <cell r="E22">
            <v>3.6950799999999999E-2</v>
          </cell>
          <cell r="F22">
            <v>3.7411999999999957E-3</v>
          </cell>
          <cell r="H22" t="str">
            <v>Garnier Fructis</v>
          </cell>
          <cell r="I22" t="str">
            <v>L'Oreal</v>
          </cell>
          <cell r="J22">
            <v>3.7600222222222226</v>
          </cell>
          <cell r="K22">
            <v>5.9172600000000006E-2</v>
          </cell>
          <cell r="L22">
            <v>-8.9099999999993072E-5</v>
          </cell>
        </row>
        <row r="23">
          <cell r="B23" t="str">
            <v>Pert Plus</v>
          </cell>
          <cell r="C23" t="str">
            <v>Procter &amp; Gamble</v>
          </cell>
          <cell r="D23">
            <v>3.867439375</v>
          </cell>
          <cell r="E23">
            <v>3.7975899999999993E-2</v>
          </cell>
          <cell r="F23">
            <v>6.3746999999999953E-3</v>
          </cell>
          <cell r="H23" t="str">
            <v>Pert Plus</v>
          </cell>
          <cell r="I23" t="str">
            <v>Procter &amp; Gamble</v>
          </cell>
          <cell r="J23">
            <v>3.6807020000000006</v>
          </cell>
          <cell r="K23">
            <v>2.1251600000000002E-2</v>
          </cell>
          <cell r="L23">
            <v>-4.3592999999999948E-3</v>
          </cell>
        </row>
        <row r="24">
          <cell r="B24" t="str">
            <v xml:space="preserve">  Subtotal </v>
          </cell>
          <cell r="E24">
            <v>0.24949739999999998</v>
          </cell>
          <cell r="F24">
            <v>7.0243999999999749E-3</v>
          </cell>
          <cell r="H24" t="str">
            <v xml:space="preserve">  Subtotal </v>
          </cell>
          <cell r="K24">
            <v>0.38467210000000007</v>
          </cell>
          <cell r="L24">
            <v>-1.404869999999994E-2</v>
          </cell>
        </row>
        <row r="25">
          <cell r="B25" t="str">
            <v xml:space="preserve">&lt; $3 Per Bottle </v>
          </cell>
          <cell r="H25" t="str">
            <v xml:space="preserve">&lt; $3 Per Bottle </v>
          </cell>
        </row>
        <row r="26">
          <cell r="B26" t="str">
            <v>TRESemmé</v>
          </cell>
          <cell r="C26" t="str">
            <v>Alberto-Culver</v>
          </cell>
          <cell r="D26">
            <v>2.88</v>
          </cell>
          <cell r="E26">
            <v>4.7153500000000001E-2</v>
          </cell>
          <cell r="F26">
            <v>1.08988E-2</v>
          </cell>
          <cell r="H26" t="str">
            <v>Tresemme</v>
          </cell>
          <cell r="I26" t="str">
            <v>Alberto-Culver</v>
          </cell>
          <cell r="J26">
            <v>2.773069285714286</v>
          </cell>
          <cell r="K26">
            <v>3.8216200000000006E-2</v>
          </cell>
          <cell r="L26">
            <v>3.2417000000000006E-3</v>
          </cell>
        </row>
        <row r="27">
          <cell r="B27" t="str">
            <v>Suave</v>
          </cell>
          <cell r="C27" t="str">
            <v>Unilever</v>
          </cell>
          <cell r="D27">
            <v>2.1114954545454547</v>
          </cell>
          <cell r="E27">
            <v>8.2273699999999991E-2</v>
          </cell>
          <cell r="F27">
            <v>-7.5930000000001385E-4</v>
          </cell>
          <cell r="H27" t="str">
            <v>Suave</v>
          </cell>
          <cell r="I27" t="str">
            <v>Unilever</v>
          </cell>
          <cell r="J27">
            <v>2.1355765384615379</v>
          </cell>
          <cell r="K27">
            <v>8.3423300000000006E-2</v>
          </cell>
          <cell r="L27">
            <v>4.3237000000000145E-3</v>
          </cell>
        </row>
        <row r="28">
          <cell r="B28" t="str">
            <v>Alberto VO5</v>
          </cell>
          <cell r="C28" t="str">
            <v>Alberto-Culver</v>
          </cell>
          <cell r="D28">
            <v>1.1216790000000001</v>
          </cell>
          <cell r="E28">
            <v>2.4485000000000007E-2</v>
          </cell>
          <cell r="F28">
            <v>3.1166000000000028E-3</v>
          </cell>
          <cell r="H28" t="str">
            <v>Alberto VO5</v>
          </cell>
          <cell r="I28" t="str">
            <v>Alberto-Culver</v>
          </cell>
          <cell r="J28">
            <v>1.1766369999999999</v>
          </cell>
          <cell r="K28">
            <v>2.1879200000000001E-2</v>
          </cell>
          <cell r="L28">
            <v>6.6899999999998631E-5</v>
          </cell>
        </row>
        <row r="29">
          <cell r="B29" t="str">
            <v xml:space="preserve">  Subtotal </v>
          </cell>
          <cell r="E29">
            <v>0.1539122</v>
          </cell>
          <cell r="F29">
            <v>1.3256099999999989E-2</v>
          </cell>
          <cell r="H29" t="str">
            <v xml:space="preserve">  Subtotal </v>
          </cell>
          <cell r="K29">
            <v>0.1435187</v>
          </cell>
          <cell r="L29">
            <v>7.6323000000000137E-3</v>
          </cell>
        </row>
        <row r="31">
          <cell r="B31" t="str">
            <v xml:space="preserve">Total </v>
          </cell>
          <cell r="E31">
            <v>0.6534937999999999</v>
          </cell>
          <cell r="F31">
            <v>1.4517999999999948E-2</v>
          </cell>
          <cell r="H31" t="str">
            <v xml:space="preserve">Total </v>
          </cell>
          <cell r="K31">
            <v>0.78228690000000012</v>
          </cell>
          <cell r="L31">
            <v>-1.3187299999999949E-2</v>
          </cell>
        </row>
      </sheetData>
      <sheetData sheetId="16">
        <row r="1">
          <cell r="P1" t="str">
            <v>SmartCharts</v>
          </cell>
          <cell r="BA1" t="str">
            <v>.</v>
          </cell>
        </row>
        <row r="2">
          <cell r="BA2" t="str">
            <v>.</v>
          </cell>
        </row>
        <row r="3">
          <cell r="BA3" t="str">
            <v>.</v>
          </cell>
        </row>
        <row r="4">
          <cell r="BA4" t="str">
            <v>.</v>
          </cell>
        </row>
        <row r="5">
          <cell r="C5" t="str">
            <v>Define value axis here:</v>
          </cell>
        </row>
        <row r="6">
          <cell r="C6" t="str">
            <v>Organic Currency Neutral Segment Sales Growth</v>
          </cell>
        </row>
        <row r="9">
          <cell r="G9" t="str">
            <v xml:space="preserve">More than four series will make this </v>
          </cell>
        </row>
        <row r="10">
          <cell r="C10" t="str">
            <v>Input your data here:</v>
          </cell>
          <cell r="G10" t="str">
            <v>chart cluttered and too difficult to read.</v>
          </cell>
          <cell r="BA10" t="str">
            <v>.</v>
          </cell>
        </row>
        <row r="11">
          <cell r="D11" t="str">
            <v>US</v>
          </cell>
          <cell r="E11" t="str">
            <v>International</v>
          </cell>
          <cell r="F11" t="str">
            <v>ACV</v>
          </cell>
          <cell r="BA11" t="str">
            <v>.</v>
          </cell>
        </row>
        <row r="12">
          <cell r="C12" t="str">
            <v>FY08</v>
          </cell>
          <cell r="D12">
            <v>0</v>
          </cell>
          <cell r="E12">
            <v>2.6410183824415161E-2</v>
          </cell>
          <cell r="F12">
            <v>8.7310500064996757E-2</v>
          </cell>
        </row>
        <row r="13">
          <cell r="C13" t="str">
            <v>Q109</v>
          </cell>
          <cell r="D13">
            <v>0</v>
          </cell>
          <cell r="E13">
            <v>-0.23837009177294691</v>
          </cell>
          <cell r="F13">
            <v>9.5110039133183888E-2</v>
          </cell>
        </row>
        <row r="14">
          <cell r="C14" t="str">
            <v>Q209</v>
          </cell>
          <cell r="D14">
            <v>0</v>
          </cell>
          <cell r="E14">
            <v>-0.26907122105215003</v>
          </cell>
          <cell r="F14">
            <v>6.2582578877919792E-2</v>
          </cell>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17">
        <row r="1">
          <cell r="Q1" t="str">
            <v>SmartCharts</v>
          </cell>
        </row>
        <row r="4">
          <cell r="A4">
            <v>37990</v>
          </cell>
          <cell r="B4">
            <v>37990</v>
          </cell>
          <cell r="C4">
            <v>37990</v>
          </cell>
          <cell r="D4">
            <v>5.9158725847835721E-2</v>
          </cell>
          <cell r="E4">
            <v>1.2935803598890091E-2</v>
          </cell>
        </row>
        <row r="5">
          <cell r="A5">
            <v>38081</v>
          </cell>
          <cell r="B5">
            <v>38081</v>
          </cell>
          <cell r="C5">
            <v>38081</v>
          </cell>
          <cell r="E5">
            <v>1.277773386236913E-2</v>
          </cell>
        </row>
        <row r="6">
          <cell r="A6">
            <v>38172</v>
          </cell>
          <cell r="B6">
            <v>38172</v>
          </cell>
          <cell r="C6">
            <v>38172</v>
          </cell>
          <cell r="E6">
            <v>1.200881240174268E-2</v>
          </cell>
        </row>
        <row r="7">
          <cell r="A7">
            <v>38263</v>
          </cell>
          <cell r="B7">
            <v>38263</v>
          </cell>
          <cell r="C7">
            <v>38263</v>
          </cell>
          <cell r="D7">
            <v>6.2942296789690516E-2</v>
          </cell>
          <cell r="E7">
            <v>1.3239243999051551E-2</v>
          </cell>
        </row>
        <row r="8">
          <cell r="A8">
            <v>38354</v>
          </cell>
          <cell r="B8">
            <v>38354</v>
          </cell>
          <cell r="C8">
            <v>38354</v>
          </cell>
          <cell r="D8">
            <v>6.2195936315313352E-2</v>
          </cell>
          <cell r="E8">
            <v>1.3111253164562369E-2</v>
          </cell>
          <cell r="I8" t="str">
            <v/>
          </cell>
        </row>
        <row r="9">
          <cell r="A9">
            <v>38445</v>
          </cell>
          <cell r="B9">
            <v>38445</v>
          </cell>
          <cell r="C9">
            <v>38445</v>
          </cell>
          <cell r="E9">
            <v>1.2075607451313667E-2</v>
          </cell>
        </row>
        <row r="10">
          <cell r="A10">
            <v>38536</v>
          </cell>
          <cell r="B10">
            <v>38536</v>
          </cell>
          <cell r="C10">
            <v>38536</v>
          </cell>
          <cell r="D10">
            <v>6.3530320026032691E-2</v>
          </cell>
          <cell r="E10">
            <v>1.1229246909826318E-2</v>
          </cell>
        </row>
        <row r="11">
          <cell r="A11">
            <v>38627</v>
          </cell>
          <cell r="B11">
            <v>38627</v>
          </cell>
          <cell r="C11">
            <v>38627</v>
          </cell>
          <cell r="D11" t="str">
            <v>VO5</v>
          </cell>
          <cell r="E11" t="str">
            <v>Tresemme</v>
          </cell>
          <cell r="F11" t="str">
            <v>Nexxus</v>
          </cell>
          <cell r="G11" t="str">
            <v>ACV</v>
          </cell>
          <cell r="H11" t="str">
            <v>Private Label</v>
          </cell>
          <cell r="AB11" t="str">
            <v>VO5</v>
          </cell>
          <cell r="AC11" t="str">
            <v>Tresemme</v>
          </cell>
          <cell r="AD11" t="str">
            <v>Nexxus</v>
          </cell>
          <cell r="AE11" t="str">
            <v>ACV</v>
          </cell>
          <cell r="AF11" t="str">
            <v>Private Label</v>
          </cell>
        </row>
        <row r="12">
          <cell r="A12">
            <v>38718</v>
          </cell>
          <cell r="B12">
            <v>38718</v>
          </cell>
          <cell r="C12">
            <v>38718</v>
          </cell>
          <cell r="D12">
            <v>2.4432339206253508E-2</v>
          </cell>
          <cell r="E12">
            <v>2.2318927711161219E-2</v>
          </cell>
          <cell r="F12">
            <v>3.3149267570612021E-3</v>
          </cell>
          <cell r="G12">
            <v>5.946583671346195E-2</v>
          </cell>
          <cell r="H12">
            <v>1.4964853575172037E-2</v>
          </cell>
          <cell r="AA12">
            <v>37717</v>
          </cell>
          <cell r="AB12">
            <v>2.4432339206253508E-2</v>
          </cell>
          <cell r="AC12">
            <v>2.2318927711161219E-2</v>
          </cell>
          <cell r="AD12">
            <v>3.3149267570612021E-3</v>
          </cell>
          <cell r="AE12">
            <v>5.946583671346195E-2</v>
          </cell>
          <cell r="AF12">
            <v>1.4964853575172037E-2</v>
          </cell>
        </row>
        <row r="13">
          <cell r="A13">
            <v>38809</v>
          </cell>
          <cell r="B13">
            <v>38809</v>
          </cell>
          <cell r="C13">
            <v>38809</v>
          </cell>
          <cell r="D13">
            <v>2.4212182060350189E-2</v>
          </cell>
          <cell r="E13">
            <v>2.1268062717719464E-2</v>
          </cell>
          <cell r="F13">
            <v>3.8997773750024658E-3</v>
          </cell>
          <cell r="G13">
            <v>5.8362602739484556E-2</v>
          </cell>
          <cell r="H13">
            <v>1.279909043582019E-2</v>
          </cell>
          <cell r="AA13">
            <v>37808</v>
          </cell>
          <cell r="AB13">
            <v>2.4212182060350189E-2</v>
          </cell>
          <cell r="AC13">
            <v>2.1268062717719464E-2</v>
          </cell>
          <cell r="AD13">
            <v>3.8997773750024658E-3</v>
          </cell>
          <cell r="AE13">
            <v>5.8362602739484556E-2</v>
          </cell>
          <cell r="AF13">
            <v>1.279909043582019E-2</v>
          </cell>
        </row>
        <row r="14">
          <cell r="A14">
            <v>38900</v>
          </cell>
          <cell r="B14">
            <v>38900</v>
          </cell>
          <cell r="C14">
            <v>38900</v>
          </cell>
          <cell r="D14">
            <v>2.5072751939692859E-2</v>
          </cell>
          <cell r="E14">
            <v>2.3312179801981057E-2</v>
          </cell>
          <cell r="F14">
            <v>4.2924445603614225E-3</v>
          </cell>
          <cell r="G14">
            <v>6.1412341882612569E-2</v>
          </cell>
          <cell r="H14">
            <v>1.2931466071906497E-2</v>
          </cell>
          <cell r="AA14">
            <v>37899</v>
          </cell>
          <cell r="AB14">
            <v>2.5072751939692859E-2</v>
          </cell>
          <cell r="AC14">
            <v>2.3312179801981057E-2</v>
          </cell>
          <cell r="AD14">
            <v>4.2924445603614225E-3</v>
          </cell>
          <cell r="AE14">
            <v>6.1412341882612569E-2</v>
          </cell>
          <cell r="AF14">
            <v>1.2931466071906497E-2</v>
          </cell>
        </row>
        <row r="15">
          <cell r="A15">
            <v>38991</v>
          </cell>
          <cell r="B15">
            <v>38991</v>
          </cell>
          <cell r="C15">
            <v>38991</v>
          </cell>
          <cell r="D15">
            <v>2.2860148628846562E-2</v>
          </cell>
          <cell r="E15">
            <v>2.2636606000560784E-2</v>
          </cell>
          <cell r="F15">
            <v>4.6828367023265868E-3</v>
          </cell>
          <cell r="G15">
            <v>5.9158725847835721E-2</v>
          </cell>
          <cell r="H15">
            <v>1.2935803598890091E-2</v>
          </cell>
          <cell r="AA15">
            <v>37990</v>
          </cell>
          <cell r="AB15">
            <v>2.2860148628846562E-2</v>
          </cell>
          <cell r="AC15">
            <v>2.2636606000560784E-2</v>
          </cell>
          <cell r="AD15">
            <v>4.6828367023265868E-3</v>
          </cell>
          <cell r="AE15">
            <v>5.9158725847835721E-2</v>
          </cell>
          <cell r="AF15">
            <v>1.2935803598890091E-2</v>
          </cell>
        </row>
        <row r="16">
          <cell r="A16">
            <v>39082</v>
          </cell>
          <cell r="B16">
            <v>39082</v>
          </cell>
          <cell r="C16">
            <v>39082</v>
          </cell>
          <cell r="D16">
            <v>2.4386859201251453E-2</v>
          </cell>
          <cell r="E16">
            <v>2.2647532089416174E-2</v>
          </cell>
          <cell r="F16">
            <v>4.2353816490851744E-3</v>
          </cell>
          <cell r="G16">
            <v>5.9718769935730429E-2</v>
          </cell>
          <cell r="H16">
            <v>1.277773386236913E-2</v>
          </cell>
          <cell r="AA16">
            <v>38081</v>
          </cell>
          <cell r="AB16">
            <v>2.4386859201251453E-2</v>
          </cell>
          <cell r="AC16">
            <v>2.2647532089416174E-2</v>
          </cell>
          <cell r="AD16">
            <v>4.2353816490851744E-3</v>
          </cell>
          <cell r="AE16">
            <v>5.9718769935730429E-2</v>
          </cell>
          <cell r="AF16">
            <v>1.277773386236913E-2</v>
          </cell>
        </row>
        <row r="17">
          <cell r="A17">
            <v>39173</v>
          </cell>
          <cell r="B17">
            <v>39173</v>
          </cell>
          <cell r="C17">
            <v>39173</v>
          </cell>
          <cell r="D17">
            <v>2.5901312060856135E-2</v>
          </cell>
          <cell r="E17">
            <v>2.2134294082873096E-2</v>
          </cell>
          <cell r="F17">
            <v>4.0171913066923215E-3</v>
          </cell>
          <cell r="G17">
            <v>6.0098978970191459E-2</v>
          </cell>
          <cell r="H17">
            <v>1.200881240174268E-2</v>
          </cell>
          <cell r="AA17">
            <v>38172</v>
          </cell>
          <cell r="AB17">
            <v>2.5901312060856135E-2</v>
          </cell>
          <cell r="AC17">
            <v>2.2134294082873096E-2</v>
          </cell>
          <cell r="AD17">
            <v>4.0171913066923215E-3</v>
          </cell>
          <cell r="AE17">
            <v>6.0098978970191459E-2</v>
          </cell>
          <cell r="AF17">
            <v>1.200881240174268E-2</v>
          </cell>
        </row>
        <row r="18">
          <cell r="A18">
            <v>39264</v>
          </cell>
          <cell r="B18">
            <v>39264</v>
          </cell>
          <cell r="C18">
            <v>39264</v>
          </cell>
          <cell r="D18">
            <v>2.5527027141048618E-2</v>
          </cell>
          <cell r="E18">
            <v>2.5077154161226047E-2</v>
          </cell>
          <cell r="F18">
            <v>3.9383992910596985E-3</v>
          </cell>
          <cell r="G18">
            <v>6.2942296789690516E-2</v>
          </cell>
          <cell r="H18">
            <v>1.3239243999051551E-2</v>
          </cell>
          <cell r="AA18">
            <v>38263</v>
          </cell>
          <cell r="AB18">
            <v>2.5527027141048618E-2</v>
          </cell>
          <cell r="AC18">
            <v>2.5077154161226047E-2</v>
          </cell>
          <cell r="AD18">
            <v>3.9383992910596985E-3</v>
          </cell>
          <cell r="AE18">
            <v>6.2942296789690516E-2</v>
          </cell>
          <cell r="AF18">
            <v>1.3239243999051551E-2</v>
          </cell>
        </row>
        <row r="19">
          <cell r="A19">
            <v>39355</v>
          </cell>
          <cell r="B19">
            <v>39355</v>
          </cell>
          <cell r="C19">
            <v>39355</v>
          </cell>
          <cell r="D19">
            <v>2.3308952402939089E-2</v>
          </cell>
          <cell r="E19">
            <v>2.5322982008120522E-2</v>
          </cell>
          <cell r="F19">
            <v>4.1195503459907443E-3</v>
          </cell>
          <cell r="G19">
            <v>6.2195936315313352E-2</v>
          </cell>
          <cell r="H19">
            <v>1.3111253164562369E-2</v>
          </cell>
          <cell r="AA19">
            <v>38354</v>
          </cell>
          <cell r="AB19">
            <v>2.3308952402939089E-2</v>
          </cell>
          <cell r="AC19">
            <v>2.5322982008120522E-2</v>
          </cell>
          <cell r="AD19">
            <v>4.1195503459907443E-3</v>
          </cell>
          <cell r="AE19">
            <v>6.2195936315313352E-2</v>
          </cell>
          <cell r="AF19">
            <v>1.3111253164562369E-2</v>
          </cell>
        </row>
        <row r="20">
          <cell r="A20">
            <v>39446</v>
          </cell>
          <cell r="B20">
            <v>39446</v>
          </cell>
          <cell r="C20">
            <v>39446</v>
          </cell>
          <cell r="D20">
            <v>2.4995402078082946E-2</v>
          </cell>
          <cell r="E20">
            <v>2.4962630126246079E-2</v>
          </cell>
          <cell r="F20">
            <v>4.2482084046338194E-3</v>
          </cell>
          <cell r="G20">
            <v>6.3077983252864359E-2</v>
          </cell>
          <cell r="H20">
            <v>1.2075607451313667E-2</v>
          </cell>
          <cell r="AA20">
            <v>38445</v>
          </cell>
          <cell r="AB20">
            <v>2.4995402078082946E-2</v>
          </cell>
          <cell r="AC20">
            <v>2.4962630126246079E-2</v>
          </cell>
          <cell r="AD20">
            <v>4.2482084046338194E-3</v>
          </cell>
          <cell r="AE20">
            <v>6.3077983252864359E-2</v>
          </cell>
          <cell r="AF20">
            <v>1.2075607451313667E-2</v>
          </cell>
        </row>
        <row r="21">
          <cell r="A21">
            <v>39537</v>
          </cell>
          <cell r="B21">
            <v>39537</v>
          </cell>
          <cell r="C21">
            <v>39537</v>
          </cell>
          <cell r="D21">
            <v>2.448101268566354E-2</v>
          </cell>
          <cell r="E21">
            <v>2.5840665517175621E-2</v>
          </cell>
          <cell r="F21">
            <v>4.6094829071622375E-3</v>
          </cell>
          <cell r="G21">
            <v>6.3530320026032691E-2</v>
          </cell>
          <cell r="H21">
            <v>1.1229246909826318E-2</v>
          </cell>
          <cell r="AA21">
            <v>38536</v>
          </cell>
          <cell r="AB21">
            <v>2.448101268566354E-2</v>
          </cell>
          <cell r="AC21">
            <v>2.5840665517175621E-2</v>
          </cell>
          <cell r="AD21">
            <v>4.6094829071622375E-3</v>
          </cell>
          <cell r="AE21">
            <v>6.3530320026032691E-2</v>
          </cell>
          <cell r="AF21">
            <v>1.1229246909826318E-2</v>
          </cell>
        </row>
        <row r="22">
          <cell r="A22">
            <v>39628</v>
          </cell>
          <cell r="B22">
            <v>39628</v>
          </cell>
          <cell r="C22">
            <v>39628</v>
          </cell>
          <cell r="D22">
            <v>2.3593395365126731E-2</v>
          </cell>
          <cell r="E22">
            <v>2.7487246458805754E-2</v>
          </cell>
          <cell r="F22">
            <v>4.8698265073327963E-3</v>
          </cell>
          <cell r="G22">
            <v>6.4460958911853494E-2</v>
          </cell>
          <cell r="H22">
            <v>1.1375591462653011E-2</v>
          </cell>
          <cell r="AA22">
            <v>38627</v>
          </cell>
          <cell r="AB22">
            <v>2.3593395365126731E-2</v>
          </cell>
          <cell r="AC22">
            <v>2.7487246458805754E-2</v>
          </cell>
          <cell r="AD22">
            <v>4.8698265073327963E-3</v>
          </cell>
          <cell r="AE22">
            <v>6.4460958911853494E-2</v>
          </cell>
          <cell r="AF22">
            <v>1.1375591462653011E-2</v>
          </cell>
        </row>
        <row r="23">
          <cell r="A23">
            <v>39719</v>
          </cell>
          <cell r="B23">
            <v>39719</v>
          </cell>
          <cell r="C23">
            <v>39719</v>
          </cell>
          <cell r="D23">
            <v>2.2591503724117421E-2</v>
          </cell>
          <cell r="E23">
            <v>2.8597145992368546E-2</v>
          </cell>
          <cell r="F23">
            <v>5.5411309890471471E-3</v>
          </cell>
          <cell r="G23">
            <v>6.5662056729161963E-2</v>
          </cell>
          <cell r="H23">
            <v>1.1766327902455381E-2</v>
          </cell>
          <cell r="AA23">
            <v>38718</v>
          </cell>
          <cell r="AB23">
            <v>2.2591503724117421E-2</v>
          </cell>
          <cell r="AC23">
            <v>2.8597145992368546E-2</v>
          </cell>
          <cell r="AD23">
            <v>5.5411309890471471E-3</v>
          </cell>
          <cell r="AE23">
            <v>6.5662056729161963E-2</v>
          </cell>
          <cell r="AF23">
            <v>1.1766327902455381E-2</v>
          </cell>
        </row>
        <row r="24">
          <cell r="A24">
            <v>39810</v>
          </cell>
          <cell r="B24">
            <v>39810</v>
          </cell>
          <cell r="C24">
            <v>39810</v>
          </cell>
          <cell r="D24">
            <v>2.1676844846271342E-2</v>
          </cell>
          <cell r="E24">
            <v>2.9138085774073813E-2</v>
          </cell>
          <cell r="F24">
            <v>1.4398022761073569E-2</v>
          </cell>
          <cell r="G24">
            <v>7.3549907014890892E-2</v>
          </cell>
          <cell r="H24">
            <v>1.2717243860390581E-2</v>
          </cell>
          <cell r="AA24">
            <v>38809</v>
          </cell>
          <cell r="AB24">
            <v>2.1676844846271342E-2</v>
          </cell>
          <cell r="AC24">
            <v>2.9138085774073813E-2</v>
          </cell>
          <cell r="AD24">
            <v>1.4398022761073569E-2</v>
          </cell>
          <cell r="AE24">
            <v>7.3549907014890892E-2</v>
          </cell>
          <cell r="AF24">
            <v>1.2717243860390581E-2</v>
          </cell>
        </row>
        <row r="25">
          <cell r="A25">
            <v>39901</v>
          </cell>
          <cell r="B25">
            <v>39901</v>
          </cell>
          <cell r="C25">
            <v>39901</v>
          </cell>
          <cell r="D25">
            <v>2.0422346387762844E-2</v>
          </cell>
          <cell r="E25">
            <v>3.0468840975333589E-2</v>
          </cell>
          <cell r="F25">
            <v>1.8725840767058903E-2</v>
          </cell>
          <cell r="G25">
            <v>7.7673828955582599E-2</v>
          </cell>
          <cell r="H25">
            <v>1.237540021007651E-2</v>
          </cell>
          <cell r="AA25">
            <v>38900</v>
          </cell>
          <cell r="AB25">
            <v>2.0422346387762844E-2</v>
          </cell>
          <cell r="AC25">
            <v>3.0468840975333589E-2</v>
          </cell>
          <cell r="AD25">
            <v>1.8725840767058903E-2</v>
          </cell>
          <cell r="AE25">
            <v>7.7673828955582599E-2</v>
          </cell>
          <cell r="AF25">
            <v>1.237540021007651E-2</v>
          </cell>
        </row>
        <row r="26">
          <cell r="C26">
            <v>38991</v>
          </cell>
          <cell r="D26">
            <v>1.9840067202176577E-2</v>
          </cell>
          <cell r="E26">
            <v>3.1615232070960515E-2</v>
          </cell>
          <cell r="F26">
            <v>1.749528763819674E-2</v>
          </cell>
          <cell r="G26">
            <v>7.6948277146657612E-2</v>
          </cell>
          <cell r="H26">
            <v>1.2402799311166489E-2</v>
          </cell>
          <cell r="AA26">
            <v>38991</v>
          </cell>
          <cell r="AB26">
            <v>1.9840067202176577E-2</v>
          </cell>
          <cell r="AC26">
            <v>3.1615232070960515E-2</v>
          </cell>
          <cell r="AD26">
            <v>1.749528763819674E-2</v>
          </cell>
          <cell r="AE26">
            <v>7.6948277146657612E-2</v>
          </cell>
          <cell r="AF26">
            <v>1.2402799311166489E-2</v>
          </cell>
        </row>
        <row r="27">
          <cell r="C27">
            <v>39082</v>
          </cell>
          <cell r="D27">
            <v>1.8409757125122397E-2</v>
          </cell>
          <cell r="E27">
            <v>3.2477057943989071E-2</v>
          </cell>
          <cell r="F27">
            <v>1.8821771896964077E-2</v>
          </cell>
          <cell r="G27">
            <v>7.8135584333649866E-2</v>
          </cell>
          <cell r="H27">
            <v>1.2837967419513031E-2</v>
          </cell>
          <cell r="AA27">
            <v>39082</v>
          </cell>
          <cell r="AB27">
            <v>1.8409757125122397E-2</v>
          </cell>
          <cell r="AC27">
            <v>3.2477057943989071E-2</v>
          </cell>
          <cell r="AD27">
            <v>1.8821771896964077E-2</v>
          </cell>
          <cell r="AE27">
            <v>7.8135584333649866E-2</v>
          </cell>
          <cell r="AF27">
            <v>1.2837967419513031E-2</v>
          </cell>
        </row>
        <row r="28">
          <cell r="C28">
            <v>39173</v>
          </cell>
          <cell r="D28">
            <v>1.9170174017362842E-2</v>
          </cell>
          <cell r="E28">
            <v>3.3560694550976468E-2</v>
          </cell>
          <cell r="F28">
            <v>1.9324373834534544E-2</v>
          </cell>
          <cell r="G28">
            <v>8.0093834494460531E-2</v>
          </cell>
          <cell r="H28">
            <v>1.3587905940906553E-2</v>
          </cell>
          <cell r="AA28">
            <v>39173</v>
          </cell>
          <cell r="AB28">
            <v>1.9170174017362842E-2</v>
          </cell>
          <cell r="AC28">
            <v>3.3560694550976468E-2</v>
          </cell>
          <cell r="AD28">
            <v>1.9324373834534544E-2</v>
          </cell>
          <cell r="AE28">
            <v>8.0093834494460531E-2</v>
          </cell>
          <cell r="AF28">
            <v>1.3587905940906553E-2</v>
          </cell>
        </row>
        <row r="29">
          <cell r="C29">
            <v>39264</v>
          </cell>
          <cell r="D29">
            <v>1.813119402744193E-2</v>
          </cell>
          <cell r="E29">
            <v>3.6580457892267236E-2</v>
          </cell>
          <cell r="F29">
            <v>2.0199772425880148E-2</v>
          </cell>
          <cell r="G29">
            <v>8.2956994514189669E-2</v>
          </cell>
          <cell r="H29">
            <v>1.3209778760351502E-2</v>
          </cell>
          <cell r="AA29">
            <v>39264</v>
          </cell>
          <cell r="AB29">
            <v>1.813119402744193E-2</v>
          </cell>
          <cell r="AC29">
            <v>3.6580457892267236E-2</v>
          </cell>
          <cell r="AD29">
            <v>2.0199772425880148E-2</v>
          </cell>
          <cell r="AE29">
            <v>8.2956994514189669E-2</v>
          </cell>
          <cell r="AF29">
            <v>1.3209778760351502E-2</v>
          </cell>
        </row>
        <row r="30">
          <cell r="C30">
            <v>39355</v>
          </cell>
          <cell r="D30">
            <v>1.9543493067932956E-2</v>
          </cell>
          <cell r="E30">
            <v>3.680013712567879E-2</v>
          </cell>
          <cell r="F30">
            <v>1.9719467805604806E-2</v>
          </cell>
          <cell r="G30">
            <v>8.3939214778398066E-2</v>
          </cell>
          <cell r="H30">
            <v>1.4073365658634117E-2</v>
          </cell>
          <cell r="AA30">
            <v>39355</v>
          </cell>
          <cell r="AB30">
            <v>1.9543493067932956E-2</v>
          </cell>
          <cell r="AC30">
            <v>3.680013712567879E-2</v>
          </cell>
          <cell r="AD30">
            <v>1.9719467805604806E-2</v>
          </cell>
          <cell r="AE30">
            <v>8.3939214778398066E-2</v>
          </cell>
          <cell r="AF30">
            <v>1.4073365658634117E-2</v>
          </cell>
        </row>
        <row r="31">
          <cell r="C31">
            <v>39446</v>
          </cell>
          <cell r="D31">
            <v>1.8131319441703854E-2</v>
          </cell>
          <cell r="E31">
            <v>3.8049602613187267E-2</v>
          </cell>
          <cell r="F31">
            <v>2.1031656860745367E-2</v>
          </cell>
          <cell r="G31">
            <v>8.5189581267708009E-2</v>
          </cell>
          <cell r="H31">
            <v>1.4968714331828325E-2</v>
          </cell>
          <cell r="AA31">
            <v>39446</v>
          </cell>
          <cell r="AB31">
            <v>1.8131319441703854E-2</v>
          </cell>
          <cell r="AC31">
            <v>3.8049602613187267E-2</v>
          </cell>
          <cell r="AD31">
            <v>2.1031656860745367E-2</v>
          </cell>
          <cell r="AE31">
            <v>8.5189581267708009E-2</v>
          </cell>
          <cell r="AF31">
            <v>1.4968714331828325E-2</v>
          </cell>
        </row>
        <row r="32">
          <cell r="C32">
            <v>39537</v>
          </cell>
          <cell r="D32">
            <v>1.7206029737223121E-2</v>
          </cell>
          <cell r="E32">
            <v>3.9731368950041007E-2</v>
          </cell>
          <cell r="F32">
            <v>2.095884011407368E-2</v>
          </cell>
          <cell r="G32">
            <v>8.5685861135377447E-2</v>
          </cell>
          <cell r="H32">
            <v>1.6815412215710486E-2</v>
          </cell>
          <cell r="AA32">
            <v>39537</v>
          </cell>
          <cell r="AB32">
            <v>1.7206029737223121E-2</v>
          </cell>
          <cell r="AC32">
            <v>3.9731368950041007E-2</v>
          </cell>
          <cell r="AD32">
            <v>2.095884011407368E-2</v>
          </cell>
          <cell r="AE32">
            <v>8.5685861135377447E-2</v>
          </cell>
          <cell r="AF32">
            <v>1.6815412215710486E-2</v>
          </cell>
        </row>
        <row r="33">
          <cell r="C33">
            <v>39628</v>
          </cell>
          <cell r="D33">
            <v>1.7223331884571976E-2</v>
          </cell>
          <cell r="E33">
            <v>4.001969740232926E-2</v>
          </cell>
          <cell r="F33">
            <v>2.1559638540712134E-2</v>
          </cell>
          <cell r="G33">
            <v>8.6660524422001783E-2</v>
          </cell>
          <cell r="H33">
            <v>1.8265880353053137E-2</v>
          </cell>
          <cell r="AA33">
            <v>39628</v>
          </cell>
          <cell r="AB33">
            <v>1.7223331884571976E-2</v>
          </cell>
          <cell r="AC33">
            <v>4.001969740232926E-2</v>
          </cell>
          <cell r="AD33">
            <v>2.1559638540712134E-2</v>
          </cell>
          <cell r="AE33">
            <v>8.6660524422001783E-2</v>
          </cell>
          <cell r="AF33">
            <v>1.8265880353053137E-2</v>
          </cell>
        </row>
        <row r="34">
          <cell r="C34">
            <v>39719</v>
          </cell>
          <cell r="D34">
            <v>1.8320440391483631E-2</v>
          </cell>
          <cell r="E34">
            <v>4.1862918759815959E-2</v>
          </cell>
          <cell r="F34">
            <v>2.1265183118538294E-2</v>
          </cell>
          <cell r="G34">
            <v>8.9221744821435564E-2</v>
          </cell>
          <cell r="H34">
            <v>2.0129665848643872E-2</v>
          </cell>
          <cell r="AA34">
            <v>39719</v>
          </cell>
          <cell r="AB34">
            <v>1.8320440391483631E-2</v>
          </cell>
          <cell r="AC34">
            <v>4.1862918759815959E-2</v>
          </cell>
          <cell r="AD34">
            <v>2.1265183118538294E-2</v>
          </cell>
          <cell r="AE34">
            <v>8.9221744821435564E-2</v>
          </cell>
          <cell r="AF34">
            <v>2.0129665848643872E-2</v>
          </cell>
        </row>
        <row r="35">
          <cell r="C35">
            <v>39810</v>
          </cell>
          <cell r="D35">
            <v>1.7385181832243128E-2</v>
          </cell>
          <cell r="E35">
            <v>4.3826696112891819E-2</v>
          </cell>
          <cell r="F35">
            <v>2.1805562254632576E-2</v>
          </cell>
          <cell r="G35">
            <v>9.1226680004924579E-2</v>
          </cell>
          <cell r="H35">
            <v>1.8192924148213923E-2</v>
          </cell>
          <cell r="AA35">
            <v>39810</v>
          </cell>
          <cell r="AB35">
            <v>1.7385181832243128E-2</v>
          </cell>
          <cell r="AC35">
            <v>4.3826696112891819E-2</v>
          </cell>
          <cell r="AD35">
            <v>2.1805562254632576E-2</v>
          </cell>
          <cell r="AE35">
            <v>9.1226680004924579E-2</v>
          </cell>
          <cell r="AF35">
            <v>1.8192924148213923E-2</v>
          </cell>
        </row>
        <row r="36">
          <cell r="C36">
            <v>39901</v>
          </cell>
          <cell r="D36">
            <v>1.672467282708362E-2</v>
          </cell>
          <cell r="E36">
            <v>4.5712173010841989E-2</v>
          </cell>
          <cell r="F36">
            <v>2.1783417099988045E-2</v>
          </cell>
          <cell r="G36">
            <v>9.2077557691830111E-2</v>
          </cell>
          <cell r="H36">
            <v>1.7662222034267597E-2</v>
          </cell>
          <cell r="AA36">
            <v>39901</v>
          </cell>
          <cell r="AB36">
            <v>1.672467282708362E-2</v>
          </cell>
          <cell r="AC36">
            <v>4.5712173010841989E-2</v>
          </cell>
          <cell r="AD36">
            <v>2.1783417099988045E-2</v>
          </cell>
          <cell r="AE36">
            <v>9.2077557691830111E-2</v>
          </cell>
          <cell r="AF36">
            <v>1.7662222034267597E-2</v>
          </cell>
        </row>
        <row r="37">
          <cell r="AA37" t="b">
            <v>0</v>
          </cell>
          <cell r="AB37" t="b">
            <v>0</v>
          </cell>
          <cell r="AC37" t="b">
            <v>0</v>
          </cell>
          <cell r="AD37" t="b">
            <v>0</v>
          </cell>
          <cell r="AE37" t="b">
            <v>0</v>
          </cell>
          <cell r="AF37" t="str">
            <v/>
          </cell>
        </row>
        <row r="38">
          <cell r="AA38" t="b">
            <v>0</v>
          </cell>
          <cell r="AB38" t="b">
            <v>0</v>
          </cell>
          <cell r="AC38" t="b">
            <v>0</v>
          </cell>
          <cell r="AD38" t="b">
            <v>0</v>
          </cell>
          <cell r="AE38" t="b">
            <v>0</v>
          </cell>
          <cell r="AF38" t="str">
            <v/>
          </cell>
        </row>
        <row r="39">
          <cell r="AA39" t="b">
            <v>0</v>
          </cell>
          <cell r="AB39" t="b">
            <v>0</v>
          </cell>
          <cell r="AC39" t="b">
            <v>0</v>
          </cell>
          <cell r="AD39" t="b">
            <v>0</v>
          </cell>
          <cell r="AE39" t="b">
            <v>0</v>
          </cell>
          <cell r="AF39" t="str">
            <v/>
          </cell>
        </row>
        <row r="40">
          <cell r="AA40" t="b">
            <v>0</v>
          </cell>
          <cell r="AB40" t="b">
            <v>0</v>
          </cell>
          <cell r="AC40" t="b">
            <v>0</v>
          </cell>
          <cell r="AD40" t="b">
            <v>0</v>
          </cell>
          <cell r="AE40" t="b">
            <v>0</v>
          </cell>
          <cell r="AF40" t="str">
            <v/>
          </cell>
        </row>
        <row r="41">
          <cell r="AA41" t="b">
            <v>0</v>
          </cell>
          <cell r="AB41" t="b">
            <v>0</v>
          </cell>
          <cell r="AC41" t="b">
            <v>0</v>
          </cell>
          <cell r="AD41" t="b">
            <v>0</v>
          </cell>
          <cell r="AE41" t="b">
            <v>0</v>
          </cell>
          <cell r="AF41" t="str">
            <v/>
          </cell>
        </row>
        <row r="42">
          <cell r="AA42" t="b">
            <v>0</v>
          </cell>
          <cell r="AB42" t="b">
            <v>0</v>
          </cell>
          <cell r="AC42" t="b">
            <v>0</v>
          </cell>
          <cell r="AD42" t="b">
            <v>0</v>
          </cell>
          <cell r="AE42" t="b">
            <v>0</v>
          </cell>
          <cell r="AF42" t="str">
            <v/>
          </cell>
        </row>
        <row r="43">
          <cell r="N43" t="str">
            <v xml:space="preserve"> </v>
          </cell>
          <cell r="AA43" t="b">
            <v>0</v>
          </cell>
          <cell r="AB43" t="b">
            <v>0</v>
          </cell>
          <cell r="AC43" t="b">
            <v>0</v>
          </cell>
          <cell r="AD43" t="b">
            <v>0</v>
          </cell>
          <cell r="AE43" t="b">
            <v>0</v>
          </cell>
          <cell r="AF43" t="str">
            <v/>
          </cell>
        </row>
        <row r="44">
          <cell r="AA44" t="b">
            <v>0</v>
          </cell>
          <cell r="AB44" t="b">
            <v>0</v>
          </cell>
          <cell r="AC44" t="b">
            <v>0</v>
          </cell>
          <cell r="AD44" t="b">
            <v>0</v>
          </cell>
          <cell r="AE44" t="b">
            <v>0</v>
          </cell>
          <cell r="AF44" t="str">
            <v/>
          </cell>
        </row>
        <row r="45">
          <cell r="AA45" t="b">
            <v>0</v>
          </cell>
          <cell r="AB45" t="b">
            <v>0</v>
          </cell>
          <cell r="AC45" t="b">
            <v>0</v>
          </cell>
          <cell r="AD45" t="b">
            <v>0</v>
          </cell>
          <cell r="AE45" t="b">
            <v>0</v>
          </cell>
          <cell r="AF45" t="str">
            <v/>
          </cell>
        </row>
        <row r="46">
          <cell r="AA46" t="b">
            <v>0</v>
          </cell>
          <cell r="AB46" t="b">
            <v>0</v>
          </cell>
          <cell r="AC46" t="b">
            <v>0</v>
          </cell>
          <cell r="AD46" t="b">
            <v>0</v>
          </cell>
          <cell r="AE46" t="b">
            <v>0</v>
          </cell>
          <cell r="AF46" t="str">
            <v/>
          </cell>
        </row>
        <row r="47">
          <cell r="AA47" t="b">
            <v>0</v>
          </cell>
          <cell r="AB47" t="b">
            <v>0</v>
          </cell>
          <cell r="AC47" t="b">
            <v>0</v>
          </cell>
          <cell r="AD47" t="b">
            <v>0</v>
          </cell>
          <cell r="AE47" t="b">
            <v>0</v>
          </cell>
          <cell r="AF47" t="str">
            <v/>
          </cell>
        </row>
        <row r="48">
          <cell r="AA48" t="b">
            <v>0</v>
          </cell>
          <cell r="AB48" t="b">
            <v>0</v>
          </cell>
          <cell r="AC48" t="b">
            <v>0</v>
          </cell>
          <cell r="AD48" t="b">
            <v>0</v>
          </cell>
          <cell r="AE48" t="b">
            <v>0</v>
          </cell>
          <cell r="AF48" t="str">
            <v/>
          </cell>
        </row>
        <row r="49">
          <cell r="AA49" t="b">
            <v>0</v>
          </cell>
          <cell r="AB49" t="b">
            <v>0</v>
          </cell>
          <cell r="AC49" t="b">
            <v>0</v>
          </cell>
          <cell r="AD49" t="b">
            <v>0</v>
          </cell>
          <cell r="AE49" t="b">
            <v>0</v>
          </cell>
          <cell r="AF49" t="str">
            <v/>
          </cell>
        </row>
        <row r="50">
          <cell r="AA50" t="b">
            <v>0</v>
          </cell>
          <cell r="AB50" t="b">
            <v>0</v>
          </cell>
          <cell r="AC50" t="b">
            <v>0</v>
          </cell>
          <cell r="AD50" t="b">
            <v>0</v>
          </cell>
          <cell r="AE50" t="b">
            <v>0</v>
          </cell>
          <cell r="AF50" t="str">
            <v/>
          </cell>
        </row>
        <row r="51">
          <cell r="AA51" t="b">
            <v>0</v>
          </cell>
          <cell r="AB51" t="b">
            <v>0</v>
          </cell>
          <cell r="AC51" t="b">
            <v>0</v>
          </cell>
          <cell r="AD51" t="b">
            <v>0</v>
          </cell>
          <cell r="AE51" t="b">
            <v>0</v>
          </cell>
          <cell r="AF51" t="str">
            <v/>
          </cell>
        </row>
        <row r="52">
          <cell r="AA52" t="b">
            <v>0</v>
          </cell>
          <cell r="AB52" t="b">
            <v>0</v>
          </cell>
          <cell r="AC52" t="b">
            <v>0</v>
          </cell>
          <cell r="AD52" t="b">
            <v>0</v>
          </cell>
          <cell r="AE52" t="b">
            <v>0</v>
          </cell>
          <cell r="AF52" t="str">
            <v/>
          </cell>
        </row>
        <row r="53">
          <cell r="AA53" t="b">
            <v>0</v>
          </cell>
          <cell r="AB53" t="b">
            <v>0</v>
          </cell>
          <cell r="AC53" t="b">
            <v>0</v>
          </cell>
          <cell r="AD53" t="b">
            <v>0</v>
          </cell>
          <cell r="AE53" t="b">
            <v>0</v>
          </cell>
          <cell r="AF53" t="str">
            <v/>
          </cell>
        </row>
        <row r="54">
          <cell r="AA54" t="b">
            <v>0</v>
          </cell>
          <cell r="AB54" t="b">
            <v>0</v>
          </cell>
          <cell r="AC54" t="b">
            <v>0</v>
          </cell>
          <cell r="AD54" t="b">
            <v>0</v>
          </cell>
          <cell r="AE54" t="b">
            <v>0</v>
          </cell>
          <cell r="AF54" t="str">
            <v/>
          </cell>
        </row>
        <row r="55">
          <cell r="AA55" t="b">
            <v>0</v>
          </cell>
          <cell r="AB55" t="b">
            <v>0</v>
          </cell>
          <cell r="AC55" t="b">
            <v>0</v>
          </cell>
          <cell r="AD55" t="b">
            <v>0</v>
          </cell>
          <cell r="AE55" t="b">
            <v>0</v>
          </cell>
          <cell r="AF55" t="str">
            <v/>
          </cell>
        </row>
        <row r="56">
          <cell r="AA56" t="b">
            <v>0</v>
          </cell>
          <cell r="AB56" t="b">
            <v>0</v>
          </cell>
          <cell r="AC56" t="b">
            <v>0</v>
          </cell>
          <cell r="AD56" t="b">
            <v>0</v>
          </cell>
          <cell r="AE56" t="b">
            <v>0</v>
          </cell>
          <cell r="AF56" t="str">
            <v/>
          </cell>
        </row>
        <row r="57">
          <cell r="AA57" t="b">
            <v>0</v>
          </cell>
          <cell r="AB57" t="b">
            <v>0</v>
          </cell>
          <cell r="AC57" t="b">
            <v>0</v>
          </cell>
          <cell r="AD57" t="b">
            <v>0</v>
          </cell>
          <cell r="AE57" t="b">
            <v>0</v>
          </cell>
          <cell r="AF57" t="str">
            <v/>
          </cell>
        </row>
        <row r="58">
          <cell r="AA58" t="b">
            <v>0</v>
          </cell>
          <cell r="AB58" t="b">
            <v>0</v>
          </cell>
          <cell r="AC58" t="b">
            <v>0</v>
          </cell>
          <cell r="AD58" t="b">
            <v>0</v>
          </cell>
          <cell r="AE58" t="b">
            <v>0</v>
          </cell>
          <cell r="AF58" t="str">
            <v/>
          </cell>
        </row>
        <row r="59">
          <cell r="AA59" t="b">
            <v>0</v>
          </cell>
          <cell r="AB59" t="b">
            <v>0</v>
          </cell>
          <cell r="AC59" t="b">
            <v>0</v>
          </cell>
          <cell r="AD59" t="b">
            <v>0</v>
          </cell>
          <cell r="AE59" t="b">
            <v>0</v>
          </cell>
          <cell r="AF59" t="str">
            <v/>
          </cell>
        </row>
        <row r="60">
          <cell r="AA60" t="b">
            <v>0</v>
          </cell>
          <cell r="AB60" t="b">
            <v>0</v>
          </cell>
          <cell r="AC60" t="b">
            <v>0</v>
          </cell>
          <cell r="AD60" t="b">
            <v>0</v>
          </cell>
          <cell r="AE60" t="b">
            <v>0</v>
          </cell>
          <cell r="AF60" t="str">
            <v/>
          </cell>
        </row>
        <row r="61">
          <cell r="AA61" t="b">
            <v>0</v>
          </cell>
          <cell r="AB61" t="b">
            <v>0</v>
          </cell>
          <cell r="AC61" t="b">
            <v>0</v>
          </cell>
          <cell r="AD61" t="b">
            <v>0</v>
          </cell>
          <cell r="AE61" t="b">
            <v>0</v>
          </cell>
          <cell r="AF61" t="str">
            <v/>
          </cell>
        </row>
        <row r="62">
          <cell r="AA62" t="b">
            <v>0</v>
          </cell>
          <cell r="AB62" t="b">
            <v>0</v>
          </cell>
          <cell r="AC62" t="b">
            <v>0</v>
          </cell>
          <cell r="AD62" t="b">
            <v>0</v>
          </cell>
          <cell r="AE62" t="b">
            <v>0</v>
          </cell>
          <cell r="AF62" t="str">
            <v/>
          </cell>
        </row>
        <row r="63">
          <cell r="AA63" t="b">
            <v>0</v>
          </cell>
          <cell r="AB63" t="b">
            <v>0</v>
          </cell>
          <cell r="AC63" t="b">
            <v>0</v>
          </cell>
          <cell r="AD63" t="b">
            <v>0</v>
          </cell>
          <cell r="AE63" t="b">
            <v>0</v>
          </cell>
          <cell r="AF63" t="str">
            <v/>
          </cell>
        </row>
        <row r="64">
          <cell r="AA64" t="b">
            <v>0</v>
          </cell>
          <cell r="AB64" t="b">
            <v>0</v>
          </cell>
          <cell r="AC64" t="b">
            <v>0</v>
          </cell>
          <cell r="AD64" t="b">
            <v>0</v>
          </cell>
          <cell r="AE64" t="b">
            <v>0</v>
          </cell>
          <cell r="AF64" t="str">
            <v/>
          </cell>
        </row>
        <row r="65">
          <cell r="AA65" t="b">
            <v>0</v>
          </cell>
          <cell r="AB65" t="b">
            <v>0</v>
          </cell>
          <cell r="AC65" t="b">
            <v>0</v>
          </cell>
          <cell r="AD65" t="b">
            <v>0</v>
          </cell>
          <cell r="AE65" t="b">
            <v>0</v>
          </cell>
          <cell r="AF65" t="str">
            <v/>
          </cell>
        </row>
        <row r="66">
          <cell r="AA66" t="b">
            <v>0</v>
          </cell>
          <cell r="AB66" t="b">
            <v>0</v>
          </cell>
          <cell r="AC66" t="b">
            <v>0</v>
          </cell>
          <cell r="AD66" t="b">
            <v>0</v>
          </cell>
          <cell r="AE66" t="b">
            <v>0</v>
          </cell>
          <cell r="AF66" t="str">
            <v/>
          </cell>
        </row>
        <row r="67">
          <cell r="AA67" t="b">
            <v>0</v>
          </cell>
          <cell r="AB67" t="b">
            <v>0</v>
          </cell>
          <cell r="AC67" t="b">
            <v>0</v>
          </cell>
          <cell r="AD67" t="b">
            <v>0</v>
          </cell>
          <cell r="AE67" t="b">
            <v>0</v>
          </cell>
          <cell r="AF67" t="str">
            <v/>
          </cell>
        </row>
        <row r="68">
          <cell r="AA68" t="b">
            <v>0</v>
          </cell>
          <cell r="AB68" t="b">
            <v>0</v>
          </cell>
          <cell r="AC68" t="b">
            <v>0</v>
          </cell>
          <cell r="AD68" t="b">
            <v>0</v>
          </cell>
          <cell r="AE68" t="b">
            <v>0</v>
          </cell>
          <cell r="AF68" t="str">
            <v/>
          </cell>
        </row>
        <row r="69">
          <cell r="AA69" t="b">
            <v>0</v>
          </cell>
          <cell r="AB69" t="b">
            <v>0</v>
          </cell>
          <cell r="AC69" t="b">
            <v>0</v>
          </cell>
          <cell r="AD69" t="b">
            <v>0</v>
          </cell>
          <cell r="AE69" t="b">
            <v>0</v>
          </cell>
          <cell r="AF69" t="str">
            <v/>
          </cell>
        </row>
        <row r="70">
          <cell r="AA70" t="b">
            <v>0</v>
          </cell>
          <cell r="AB70" t="b">
            <v>0</v>
          </cell>
          <cell r="AC70" t="b">
            <v>0</v>
          </cell>
          <cell r="AD70" t="b">
            <v>0</v>
          </cell>
          <cell r="AE70" t="b">
            <v>0</v>
          </cell>
          <cell r="AF70" t="str">
            <v/>
          </cell>
        </row>
        <row r="71">
          <cell r="AA71" t="b">
            <v>0</v>
          </cell>
          <cell r="AB71" t="b">
            <v>0</v>
          </cell>
          <cell r="AC71" t="b">
            <v>0</v>
          </cell>
          <cell r="AD71" t="b">
            <v>0</v>
          </cell>
          <cell r="AE71" t="b">
            <v>0</v>
          </cell>
          <cell r="AF71" t="str">
            <v/>
          </cell>
        </row>
        <row r="72">
          <cell r="AA72" t="b">
            <v>0</v>
          </cell>
          <cell r="AB72" t="b">
            <v>0</v>
          </cell>
          <cell r="AC72" t="b">
            <v>0</v>
          </cell>
          <cell r="AD72" t="b">
            <v>0</v>
          </cell>
          <cell r="AE72" t="b">
            <v>0</v>
          </cell>
          <cell r="AF72" t="str">
            <v/>
          </cell>
        </row>
        <row r="73">
          <cell r="AA73" t="b">
            <v>0</v>
          </cell>
          <cell r="AB73" t="b">
            <v>0</v>
          </cell>
          <cell r="AC73" t="b">
            <v>0</v>
          </cell>
          <cell r="AD73" t="b">
            <v>0</v>
          </cell>
          <cell r="AE73" t="b">
            <v>0</v>
          </cell>
          <cell r="AF73" t="str">
            <v/>
          </cell>
        </row>
        <row r="74">
          <cell r="AA74" t="b">
            <v>0</v>
          </cell>
          <cell r="AB74" t="b">
            <v>0</v>
          </cell>
          <cell r="AC74" t="b">
            <v>0</v>
          </cell>
          <cell r="AD74" t="b">
            <v>0</v>
          </cell>
          <cell r="AE74" t="b">
            <v>0</v>
          </cell>
          <cell r="AF74" t="str">
            <v/>
          </cell>
        </row>
        <row r="75">
          <cell r="AA75" t="b">
            <v>0</v>
          </cell>
          <cell r="AB75" t="b">
            <v>0</v>
          </cell>
          <cell r="AC75" t="b">
            <v>0</v>
          </cell>
          <cell r="AD75" t="b">
            <v>0</v>
          </cell>
          <cell r="AE75" t="b">
            <v>0</v>
          </cell>
          <cell r="AF75" t="str">
            <v/>
          </cell>
        </row>
        <row r="76">
          <cell r="AA76" t="b">
            <v>0</v>
          </cell>
          <cell r="AB76" t="b">
            <v>0</v>
          </cell>
          <cell r="AC76" t="b">
            <v>0</v>
          </cell>
          <cell r="AD76" t="b">
            <v>0</v>
          </cell>
          <cell r="AE76" t="b">
            <v>0</v>
          </cell>
          <cell r="AF76" t="str">
            <v/>
          </cell>
        </row>
        <row r="77">
          <cell r="AA77" t="b">
            <v>0</v>
          </cell>
          <cell r="AB77" t="b">
            <v>0</v>
          </cell>
          <cell r="AC77" t="b">
            <v>0</v>
          </cell>
          <cell r="AD77" t="b">
            <v>0</v>
          </cell>
          <cell r="AE77" t="b">
            <v>0</v>
          </cell>
          <cell r="AF77" t="str">
            <v/>
          </cell>
        </row>
        <row r="78">
          <cell r="AA78" t="b">
            <v>0</v>
          </cell>
          <cell r="AB78" t="b">
            <v>0</v>
          </cell>
          <cell r="AC78" t="b">
            <v>0</v>
          </cell>
          <cell r="AD78" t="b">
            <v>0</v>
          </cell>
          <cell r="AE78" t="b">
            <v>0</v>
          </cell>
          <cell r="AF78" t="str">
            <v/>
          </cell>
        </row>
        <row r="79">
          <cell r="AA79" t="b">
            <v>0</v>
          </cell>
          <cell r="AB79" t="b">
            <v>0</v>
          </cell>
          <cell r="AC79" t="b">
            <v>0</v>
          </cell>
          <cell r="AD79" t="b">
            <v>0</v>
          </cell>
          <cell r="AE79" t="b">
            <v>0</v>
          </cell>
          <cell r="AF79" t="str">
            <v/>
          </cell>
        </row>
        <row r="80">
          <cell r="AA80" t="b">
            <v>0</v>
          </cell>
          <cell r="AB80" t="b">
            <v>0</v>
          </cell>
          <cell r="AC80" t="b">
            <v>0</v>
          </cell>
          <cell r="AD80" t="b">
            <v>0</v>
          </cell>
          <cell r="AE80" t="b">
            <v>0</v>
          </cell>
          <cell r="AF80" t="str">
            <v/>
          </cell>
        </row>
        <row r="81">
          <cell r="AA81" t="b">
            <v>0</v>
          </cell>
          <cell r="AB81" t="b">
            <v>0</v>
          </cell>
          <cell r="AC81" t="b">
            <v>0</v>
          </cell>
          <cell r="AD81" t="b">
            <v>0</v>
          </cell>
          <cell r="AE81" t="b">
            <v>0</v>
          </cell>
          <cell r="AF81" t="str">
            <v/>
          </cell>
        </row>
        <row r="82">
          <cell r="AA82" t="b">
            <v>0</v>
          </cell>
          <cell r="AB82" t="b">
            <v>0</v>
          </cell>
          <cell r="AC82" t="b">
            <v>0</v>
          </cell>
          <cell r="AD82" t="b">
            <v>0</v>
          </cell>
          <cell r="AE82" t="b">
            <v>0</v>
          </cell>
          <cell r="AF82" t="str">
            <v/>
          </cell>
        </row>
        <row r="83">
          <cell r="AA83" t="b">
            <v>0</v>
          </cell>
          <cell r="AB83" t="b">
            <v>0</v>
          </cell>
          <cell r="AC83" t="b">
            <v>0</v>
          </cell>
          <cell r="AD83" t="b">
            <v>0</v>
          </cell>
          <cell r="AE83" t="b">
            <v>0</v>
          </cell>
          <cell r="AF83" t="str">
            <v/>
          </cell>
        </row>
        <row r="84">
          <cell r="AA84" t="b">
            <v>0</v>
          </cell>
          <cell r="AB84" t="b">
            <v>0</v>
          </cell>
          <cell r="AC84" t="b">
            <v>0</v>
          </cell>
          <cell r="AD84" t="b">
            <v>0</v>
          </cell>
          <cell r="AE84" t="b">
            <v>0</v>
          </cell>
          <cell r="AF84" t="str">
            <v/>
          </cell>
        </row>
        <row r="85">
          <cell r="AA85" t="b">
            <v>0</v>
          </cell>
          <cell r="AB85" t="b">
            <v>0</v>
          </cell>
          <cell r="AC85" t="b">
            <v>0</v>
          </cell>
          <cell r="AD85" t="b">
            <v>0</v>
          </cell>
          <cell r="AE85" t="b">
            <v>0</v>
          </cell>
          <cell r="AF85" t="str">
            <v/>
          </cell>
        </row>
        <row r="86">
          <cell r="AA86" t="b">
            <v>0</v>
          </cell>
          <cell r="AB86" t="b">
            <v>0</v>
          </cell>
          <cell r="AC86" t="b">
            <v>0</v>
          </cell>
          <cell r="AD86" t="b">
            <v>0</v>
          </cell>
          <cell r="AE86" t="b">
            <v>0</v>
          </cell>
          <cell r="AF86" t="str">
            <v/>
          </cell>
        </row>
        <row r="87">
          <cell r="AA87" t="b">
            <v>0</v>
          </cell>
          <cell r="AB87" t="b">
            <v>0</v>
          </cell>
          <cell r="AC87" t="b">
            <v>0</v>
          </cell>
          <cell r="AD87" t="b">
            <v>0</v>
          </cell>
          <cell r="AE87" t="b">
            <v>0</v>
          </cell>
          <cell r="AF87" t="str">
            <v/>
          </cell>
        </row>
        <row r="88">
          <cell r="AA88" t="b">
            <v>0</v>
          </cell>
          <cell r="AB88" t="b">
            <v>0</v>
          </cell>
          <cell r="AC88" t="b">
            <v>0</v>
          </cell>
          <cell r="AD88" t="b">
            <v>0</v>
          </cell>
          <cell r="AE88" t="b">
            <v>0</v>
          </cell>
          <cell r="AF88" t="str">
            <v/>
          </cell>
        </row>
        <row r="89">
          <cell r="AA89" t="b">
            <v>0</v>
          </cell>
          <cell r="AB89" t="b">
            <v>0</v>
          </cell>
          <cell r="AC89" t="b">
            <v>0</v>
          </cell>
          <cell r="AD89" t="b">
            <v>0</v>
          </cell>
          <cell r="AE89" t="b">
            <v>0</v>
          </cell>
          <cell r="AF89" t="str">
            <v/>
          </cell>
        </row>
        <row r="90">
          <cell r="AA90" t="b">
            <v>0</v>
          </cell>
          <cell r="AB90" t="b">
            <v>0</v>
          </cell>
          <cell r="AC90" t="b">
            <v>0</v>
          </cell>
          <cell r="AD90" t="b">
            <v>0</v>
          </cell>
          <cell r="AE90" t="b">
            <v>0</v>
          </cell>
          <cell r="AF90" t="str">
            <v/>
          </cell>
        </row>
        <row r="91">
          <cell r="AA91" t="b">
            <v>0</v>
          </cell>
          <cell r="AB91" t="b">
            <v>0</v>
          </cell>
          <cell r="AC91" t="b">
            <v>0</v>
          </cell>
          <cell r="AD91" t="b">
            <v>0</v>
          </cell>
          <cell r="AE91" t="b">
            <v>0</v>
          </cell>
          <cell r="AF91" t="str">
            <v/>
          </cell>
        </row>
        <row r="92">
          <cell r="AA92" t="b">
            <v>0</v>
          </cell>
          <cell r="AB92" t="b">
            <v>0</v>
          </cell>
          <cell r="AC92" t="b">
            <v>0</v>
          </cell>
          <cell r="AD92" t="b">
            <v>0</v>
          </cell>
          <cell r="AE92" t="b">
            <v>0</v>
          </cell>
          <cell r="AF92" t="str">
            <v/>
          </cell>
        </row>
        <row r="93">
          <cell r="AA93" t="b">
            <v>0</v>
          </cell>
          <cell r="AB93" t="b">
            <v>0</v>
          </cell>
          <cell r="AC93" t="b">
            <v>0</v>
          </cell>
          <cell r="AD93" t="b">
            <v>0</v>
          </cell>
          <cell r="AE93" t="b">
            <v>0</v>
          </cell>
          <cell r="AF93" t="str">
            <v/>
          </cell>
        </row>
        <row r="94">
          <cell r="AA94" t="b">
            <v>0</v>
          </cell>
          <cell r="AB94" t="b">
            <v>0</v>
          </cell>
          <cell r="AC94" t="b">
            <v>0</v>
          </cell>
          <cell r="AD94" t="b">
            <v>0</v>
          </cell>
          <cell r="AE94" t="b">
            <v>0</v>
          </cell>
          <cell r="AF94" t="str">
            <v/>
          </cell>
        </row>
        <row r="95">
          <cell r="AA95" t="b">
            <v>0</v>
          </cell>
          <cell r="AB95" t="b">
            <v>0</v>
          </cell>
          <cell r="AC95" t="b">
            <v>0</v>
          </cell>
          <cell r="AD95" t="b">
            <v>0</v>
          </cell>
          <cell r="AE95" t="b">
            <v>0</v>
          </cell>
          <cell r="AF95" t="str">
            <v/>
          </cell>
        </row>
        <row r="96">
          <cell r="AA96" t="b">
            <v>0</v>
          </cell>
          <cell r="AB96" t="b">
            <v>0</v>
          </cell>
          <cell r="AC96" t="b">
            <v>0</v>
          </cell>
          <cell r="AD96" t="b">
            <v>0</v>
          </cell>
          <cell r="AE96" t="b">
            <v>0</v>
          </cell>
          <cell r="AF96" t="str">
            <v/>
          </cell>
        </row>
        <row r="97">
          <cell r="AA97" t="b">
            <v>0</v>
          </cell>
          <cell r="AB97" t="b">
            <v>0</v>
          </cell>
          <cell r="AC97" t="b">
            <v>0</v>
          </cell>
          <cell r="AD97" t="b">
            <v>0</v>
          </cell>
          <cell r="AE97" t="b">
            <v>0</v>
          </cell>
          <cell r="AF97" t="str">
            <v/>
          </cell>
        </row>
        <row r="98">
          <cell r="AA98" t="b">
            <v>0</v>
          </cell>
          <cell r="AB98" t="b">
            <v>0</v>
          </cell>
          <cell r="AC98" t="b">
            <v>0</v>
          </cell>
          <cell r="AD98" t="b">
            <v>0</v>
          </cell>
          <cell r="AE98" t="b">
            <v>0</v>
          </cell>
          <cell r="AF98" t="str">
            <v/>
          </cell>
        </row>
        <row r="99">
          <cell r="AA99" t="b">
            <v>0</v>
          </cell>
          <cell r="AB99" t="b">
            <v>0</v>
          </cell>
          <cell r="AC99" t="b">
            <v>0</v>
          </cell>
          <cell r="AD99" t="b">
            <v>0</v>
          </cell>
          <cell r="AE99" t="b">
            <v>0</v>
          </cell>
          <cell r="AF99" t="str">
            <v/>
          </cell>
        </row>
        <row r="100">
          <cell r="AA100" t="b">
            <v>0</v>
          </cell>
          <cell r="AB100" t="b">
            <v>0</v>
          </cell>
          <cell r="AC100" t="b">
            <v>0</v>
          </cell>
          <cell r="AD100" t="b">
            <v>0</v>
          </cell>
          <cell r="AE100" t="b">
            <v>0</v>
          </cell>
          <cell r="AF100" t="str">
            <v/>
          </cell>
        </row>
        <row r="101">
          <cell r="AA101" t="b">
            <v>0</v>
          </cell>
          <cell r="AB101" t="b">
            <v>0</v>
          </cell>
          <cell r="AC101" t="b">
            <v>0</v>
          </cell>
          <cell r="AD101" t="b">
            <v>0</v>
          </cell>
          <cell r="AE101" t="b">
            <v>0</v>
          </cell>
          <cell r="AF101" t="str">
            <v/>
          </cell>
        </row>
        <row r="102">
          <cell r="AA102" t="b">
            <v>0</v>
          </cell>
          <cell r="AB102" t="b">
            <v>0</v>
          </cell>
          <cell r="AC102" t="b">
            <v>0</v>
          </cell>
          <cell r="AD102" t="b">
            <v>0</v>
          </cell>
          <cell r="AE102" t="b">
            <v>0</v>
          </cell>
          <cell r="AF102" t="str">
            <v/>
          </cell>
        </row>
        <row r="103">
          <cell r="AA103" t="b">
            <v>0</v>
          </cell>
          <cell r="AB103" t="b">
            <v>0</v>
          </cell>
          <cell r="AC103" t="b">
            <v>0</v>
          </cell>
          <cell r="AD103" t="b">
            <v>0</v>
          </cell>
          <cell r="AE103" t="b">
            <v>0</v>
          </cell>
          <cell r="AF103" t="str">
            <v/>
          </cell>
        </row>
        <row r="104">
          <cell r="AA104" t="b">
            <v>0</v>
          </cell>
          <cell r="AB104" t="b">
            <v>0</v>
          </cell>
          <cell r="AC104" t="b">
            <v>0</v>
          </cell>
          <cell r="AD104" t="b">
            <v>0</v>
          </cell>
          <cell r="AE104" t="b">
            <v>0</v>
          </cell>
          <cell r="AF104" t="str">
            <v/>
          </cell>
        </row>
        <row r="105">
          <cell r="AA105" t="b">
            <v>0</v>
          </cell>
          <cell r="AB105" t="b">
            <v>0</v>
          </cell>
          <cell r="AC105" t="b">
            <v>0</v>
          </cell>
          <cell r="AD105" t="b">
            <v>0</v>
          </cell>
          <cell r="AE105" t="b">
            <v>0</v>
          </cell>
          <cell r="AF105" t="str">
            <v/>
          </cell>
        </row>
        <row r="106">
          <cell r="AA106" t="b">
            <v>0</v>
          </cell>
          <cell r="AB106" t="b">
            <v>0</v>
          </cell>
          <cell r="AC106" t="b">
            <v>0</v>
          </cell>
          <cell r="AD106" t="b">
            <v>0</v>
          </cell>
          <cell r="AE106" t="b">
            <v>0</v>
          </cell>
          <cell r="AF106" t="str">
            <v/>
          </cell>
        </row>
        <row r="107">
          <cell r="AA107" t="b">
            <v>0</v>
          </cell>
          <cell r="AB107" t="b">
            <v>0</v>
          </cell>
          <cell r="AC107" t="b">
            <v>0</v>
          </cell>
          <cell r="AD107" t="b">
            <v>0</v>
          </cell>
          <cell r="AE107" t="b">
            <v>0</v>
          </cell>
          <cell r="AF107" t="str">
            <v/>
          </cell>
        </row>
        <row r="108">
          <cell r="AA108" t="b">
            <v>0</v>
          </cell>
          <cell r="AB108" t="b">
            <v>0</v>
          </cell>
          <cell r="AC108" t="b">
            <v>0</v>
          </cell>
          <cell r="AD108" t="b">
            <v>0</v>
          </cell>
          <cell r="AE108" t="b">
            <v>0</v>
          </cell>
          <cell r="AF108" t="str">
            <v/>
          </cell>
        </row>
        <row r="109">
          <cell r="AA109" t="b">
            <v>0</v>
          </cell>
          <cell r="AB109" t="b">
            <v>0</v>
          </cell>
          <cell r="AC109" t="b">
            <v>0</v>
          </cell>
          <cell r="AD109" t="b">
            <v>0</v>
          </cell>
          <cell r="AE109" t="b">
            <v>0</v>
          </cell>
          <cell r="AF109" t="str">
            <v/>
          </cell>
        </row>
        <row r="110">
          <cell r="AA110" t="b">
            <v>0</v>
          </cell>
          <cell r="AB110" t="b">
            <v>0</v>
          </cell>
          <cell r="AC110" t="b">
            <v>0</v>
          </cell>
          <cell r="AD110" t="b">
            <v>0</v>
          </cell>
          <cell r="AE110" t="b">
            <v>0</v>
          </cell>
          <cell r="AF110" t="str">
            <v/>
          </cell>
        </row>
        <row r="111">
          <cell r="AA111" t="b">
            <v>0</v>
          </cell>
          <cell r="AB111" t="b">
            <v>0</v>
          </cell>
          <cell r="AC111" t="b">
            <v>0</v>
          </cell>
          <cell r="AD111" t="b">
            <v>0</v>
          </cell>
          <cell r="AE111" t="b">
            <v>0</v>
          </cell>
          <cell r="AF111" t="str">
            <v/>
          </cell>
        </row>
        <row r="112">
          <cell r="AA112" t="b">
            <v>0</v>
          </cell>
          <cell r="AB112" t="b">
            <v>0</v>
          </cell>
          <cell r="AC112" t="b">
            <v>0</v>
          </cell>
          <cell r="AD112" t="b">
            <v>0</v>
          </cell>
          <cell r="AE112" t="b">
            <v>0</v>
          </cell>
          <cell r="AF112" t="str">
            <v/>
          </cell>
        </row>
        <row r="113">
          <cell r="AA113" t="b">
            <v>0</v>
          </cell>
          <cell r="AB113" t="b">
            <v>0</v>
          </cell>
          <cell r="AC113" t="b">
            <v>0</v>
          </cell>
          <cell r="AD113" t="b">
            <v>0</v>
          </cell>
          <cell r="AE113" t="b">
            <v>0</v>
          </cell>
          <cell r="AF113" t="str">
            <v/>
          </cell>
        </row>
        <row r="114">
          <cell r="AA114" t="b">
            <v>0</v>
          </cell>
          <cell r="AB114" t="b">
            <v>0</v>
          </cell>
          <cell r="AC114" t="b">
            <v>0</v>
          </cell>
          <cell r="AD114" t="b">
            <v>0</v>
          </cell>
          <cell r="AE114" t="b">
            <v>0</v>
          </cell>
          <cell r="AF114" t="str">
            <v/>
          </cell>
        </row>
        <row r="115">
          <cell r="AA115" t="b">
            <v>0</v>
          </cell>
          <cell r="AB115" t="b">
            <v>0</v>
          </cell>
          <cell r="AC115" t="b">
            <v>0</v>
          </cell>
          <cell r="AD115" t="b">
            <v>0</v>
          </cell>
          <cell r="AE115" t="b">
            <v>0</v>
          </cell>
          <cell r="AF115" t="str">
            <v/>
          </cell>
        </row>
        <row r="116">
          <cell r="AA116" t="b">
            <v>0</v>
          </cell>
          <cell r="AB116" t="b">
            <v>0</v>
          </cell>
          <cell r="AC116" t="b">
            <v>0</v>
          </cell>
          <cell r="AD116" t="b">
            <v>0</v>
          </cell>
          <cell r="AE116" t="b">
            <v>0</v>
          </cell>
          <cell r="AF116" t="str">
            <v/>
          </cell>
        </row>
        <row r="117">
          <cell r="AA117" t="b">
            <v>0</v>
          </cell>
          <cell r="AB117" t="b">
            <v>0</v>
          </cell>
          <cell r="AC117" t="b">
            <v>0</v>
          </cell>
          <cell r="AD117" t="b">
            <v>0</v>
          </cell>
          <cell r="AE117" t="b">
            <v>0</v>
          </cell>
          <cell r="AF117" t="str">
            <v/>
          </cell>
        </row>
        <row r="118">
          <cell r="AA118" t="b">
            <v>0</v>
          </cell>
          <cell r="AB118" t="b">
            <v>0</v>
          </cell>
          <cell r="AC118" t="b">
            <v>0</v>
          </cell>
          <cell r="AD118" t="b">
            <v>0</v>
          </cell>
          <cell r="AE118" t="b">
            <v>0</v>
          </cell>
          <cell r="AF118" t="str">
            <v/>
          </cell>
        </row>
        <row r="119">
          <cell r="AA119" t="b">
            <v>0</v>
          </cell>
          <cell r="AB119" t="b">
            <v>0</v>
          </cell>
          <cell r="AC119" t="b">
            <v>0</v>
          </cell>
          <cell r="AD119" t="b">
            <v>0</v>
          </cell>
          <cell r="AE119" t="b">
            <v>0</v>
          </cell>
          <cell r="AF119" t="str">
            <v/>
          </cell>
        </row>
        <row r="120">
          <cell r="AA120" t="b">
            <v>0</v>
          </cell>
          <cell r="AB120" t="b">
            <v>0</v>
          </cell>
          <cell r="AC120" t="b">
            <v>0</v>
          </cell>
          <cell r="AD120" t="b">
            <v>0</v>
          </cell>
          <cell r="AE120" t="b">
            <v>0</v>
          </cell>
          <cell r="AF120" t="str">
            <v/>
          </cell>
        </row>
        <row r="121">
          <cell r="AA121" t="b">
            <v>0</v>
          </cell>
          <cell r="AB121" t="b">
            <v>0</v>
          </cell>
          <cell r="AC121" t="b">
            <v>0</v>
          </cell>
          <cell r="AD121" t="b">
            <v>0</v>
          </cell>
          <cell r="AE121" t="b">
            <v>0</v>
          </cell>
          <cell r="AF121" t="str">
            <v/>
          </cell>
        </row>
        <row r="122">
          <cell r="AA122" t="b">
            <v>0</v>
          </cell>
          <cell r="AB122" t="b">
            <v>0</v>
          </cell>
          <cell r="AC122" t="b">
            <v>0</v>
          </cell>
          <cell r="AD122" t="b">
            <v>0</v>
          </cell>
          <cell r="AE122" t="b">
            <v>0</v>
          </cell>
          <cell r="AF122" t="str">
            <v/>
          </cell>
        </row>
        <row r="123">
          <cell r="AA123" t="b">
            <v>0</v>
          </cell>
          <cell r="AB123" t="b">
            <v>0</v>
          </cell>
          <cell r="AC123" t="b">
            <v>0</v>
          </cell>
          <cell r="AD123" t="b">
            <v>0</v>
          </cell>
          <cell r="AE123" t="b">
            <v>0</v>
          </cell>
          <cell r="AF123" t="str">
            <v/>
          </cell>
        </row>
        <row r="124">
          <cell r="AA124" t="b">
            <v>0</v>
          </cell>
          <cell r="AB124" t="b">
            <v>0</v>
          </cell>
          <cell r="AC124" t="b">
            <v>0</v>
          </cell>
          <cell r="AD124" t="b">
            <v>0</v>
          </cell>
          <cell r="AE124" t="b">
            <v>0</v>
          </cell>
          <cell r="AF124" t="str">
            <v/>
          </cell>
        </row>
        <row r="125">
          <cell r="AA125" t="b">
            <v>0</v>
          </cell>
          <cell r="AB125" t="b">
            <v>0</v>
          </cell>
          <cell r="AC125" t="b">
            <v>0</v>
          </cell>
          <cell r="AD125" t="b">
            <v>0</v>
          </cell>
          <cell r="AE125" t="b">
            <v>0</v>
          </cell>
          <cell r="AF125" t="str">
            <v/>
          </cell>
        </row>
        <row r="126">
          <cell r="AA126" t="b">
            <v>0</v>
          </cell>
          <cell r="AB126" t="b">
            <v>0</v>
          </cell>
          <cell r="AC126" t="b">
            <v>0</v>
          </cell>
          <cell r="AD126" t="b">
            <v>0</v>
          </cell>
          <cell r="AE126" t="b">
            <v>0</v>
          </cell>
          <cell r="AF126" t="str">
            <v/>
          </cell>
        </row>
        <row r="127">
          <cell r="AA127" t="b">
            <v>0</v>
          </cell>
          <cell r="AB127" t="b">
            <v>0</v>
          </cell>
          <cell r="AC127" t="b">
            <v>0</v>
          </cell>
          <cell r="AD127" t="b">
            <v>0</v>
          </cell>
          <cell r="AE127" t="b">
            <v>0</v>
          </cell>
          <cell r="AF127" t="str">
            <v/>
          </cell>
        </row>
        <row r="128">
          <cell r="AA128" t="b">
            <v>0</v>
          </cell>
          <cell r="AB128" t="b">
            <v>0</v>
          </cell>
          <cell r="AC128" t="b">
            <v>0</v>
          </cell>
          <cell r="AD128" t="b">
            <v>0</v>
          </cell>
          <cell r="AE128" t="b">
            <v>0</v>
          </cell>
          <cell r="AF128" t="str">
            <v/>
          </cell>
        </row>
        <row r="129">
          <cell r="AA129" t="b">
            <v>0</v>
          </cell>
          <cell r="AB129" t="b">
            <v>0</v>
          </cell>
          <cell r="AC129" t="b">
            <v>0</v>
          </cell>
          <cell r="AD129" t="b">
            <v>0</v>
          </cell>
          <cell r="AE129" t="b">
            <v>0</v>
          </cell>
          <cell r="AF129" t="str">
            <v/>
          </cell>
        </row>
        <row r="130">
          <cell r="AA130" t="b">
            <v>0</v>
          </cell>
          <cell r="AB130" t="b">
            <v>0</v>
          </cell>
          <cell r="AC130" t="b">
            <v>0</v>
          </cell>
          <cell r="AD130" t="b">
            <v>0</v>
          </cell>
          <cell r="AE130" t="b">
            <v>0</v>
          </cell>
          <cell r="AF130" t="str">
            <v/>
          </cell>
        </row>
        <row r="131">
          <cell r="AA131" t="b">
            <v>0</v>
          </cell>
          <cell r="AB131" t="b">
            <v>0</v>
          </cell>
          <cell r="AC131" t="b">
            <v>0</v>
          </cell>
          <cell r="AD131" t="b">
            <v>0</v>
          </cell>
          <cell r="AE131" t="b">
            <v>0</v>
          </cell>
          <cell r="AF131" t="str">
            <v/>
          </cell>
        </row>
        <row r="132">
          <cell r="AA132" t="b">
            <v>0</v>
          </cell>
          <cell r="AB132" t="b">
            <v>0</v>
          </cell>
          <cell r="AC132" t="b">
            <v>0</v>
          </cell>
          <cell r="AD132" t="b">
            <v>0</v>
          </cell>
          <cell r="AE132" t="b">
            <v>0</v>
          </cell>
          <cell r="AF132" t="str">
            <v/>
          </cell>
        </row>
        <row r="133">
          <cell r="AA133" t="b">
            <v>0</v>
          </cell>
          <cell r="AB133" t="b">
            <v>0</v>
          </cell>
          <cell r="AC133" t="b">
            <v>0</v>
          </cell>
          <cell r="AD133" t="b">
            <v>0</v>
          </cell>
          <cell r="AE133" t="b">
            <v>0</v>
          </cell>
          <cell r="AF133" t="str">
            <v/>
          </cell>
        </row>
        <row r="134">
          <cell r="AA134" t="b">
            <v>0</v>
          </cell>
          <cell r="AB134" t="b">
            <v>0</v>
          </cell>
          <cell r="AC134" t="b">
            <v>0</v>
          </cell>
          <cell r="AD134" t="b">
            <v>0</v>
          </cell>
          <cell r="AE134" t="b">
            <v>0</v>
          </cell>
          <cell r="AF134" t="str">
            <v/>
          </cell>
        </row>
        <row r="135">
          <cell r="AA135" t="b">
            <v>0</v>
          </cell>
          <cell r="AB135" t="b">
            <v>0</v>
          </cell>
          <cell r="AC135" t="b">
            <v>0</v>
          </cell>
          <cell r="AD135" t="b">
            <v>0</v>
          </cell>
          <cell r="AE135" t="b">
            <v>0</v>
          </cell>
          <cell r="AF135" t="str">
            <v/>
          </cell>
        </row>
        <row r="136">
          <cell r="AA136" t="b">
            <v>0</v>
          </cell>
          <cell r="AB136" t="b">
            <v>0</v>
          </cell>
          <cell r="AC136" t="b">
            <v>0</v>
          </cell>
          <cell r="AD136" t="b">
            <v>0</v>
          </cell>
          <cell r="AE136" t="b">
            <v>0</v>
          </cell>
          <cell r="AF136" t="str">
            <v/>
          </cell>
        </row>
        <row r="137">
          <cell r="AA137" t="b">
            <v>0</v>
          </cell>
          <cell r="AB137" t="b">
            <v>0</v>
          </cell>
          <cell r="AC137" t="b">
            <v>0</v>
          </cell>
          <cell r="AD137" t="b">
            <v>0</v>
          </cell>
          <cell r="AE137" t="b">
            <v>0</v>
          </cell>
          <cell r="AF137" t="str">
            <v/>
          </cell>
        </row>
        <row r="138">
          <cell r="AA138" t="b">
            <v>0</v>
          </cell>
          <cell r="AB138" t="b">
            <v>0</v>
          </cell>
          <cell r="AC138" t="b">
            <v>0</v>
          </cell>
          <cell r="AD138" t="b">
            <v>0</v>
          </cell>
          <cell r="AE138" t="b">
            <v>0</v>
          </cell>
          <cell r="AF138" t="str">
            <v/>
          </cell>
        </row>
        <row r="139">
          <cell r="AA139" t="b">
            <v>0</v>
          </cell>
          <cell r="AB139" t="b">
            <v>0</v>
          </cell>
          <cell r="AC139" t="b">
            <v>0</v>
          </cell>
          <cell r="AD139" t="b">
            <v>0</v>
          </cell>
          <cell r="AE139" t="b">
            <v>0</v>
          </cell>
          <cell r="AF139" t="str">
            <v/>
          </cell>
        </row>
        <row r="140">
          <cell r="AA140" t="b">
            <v>0</v>
          </cell>
          <cell r="AB140" t="b">
            <v>0</v>
          </cell>
          <cell r="AC140" t="b">
            <v>0</v>
          </cell>
          <cell r="AD140" t="b">
            <v>0</v>
          </cell>
          <cell r="AE140" t="b">
            <v>0</v>
          </cell>
          <cell r="AF140" t="str">
            <v/>
          </cell>
        </row>
        <row r="141">
          <cell r="AA141" t="b">
            <v>0</v>
          </cell>
          <cell r="AB141" t="b">
            <v>0</v>
          </cell>
          <cell r="AC141" t="b">
            <v>0</v>
          </cell>
          <cell r="AD141" t="b">
            <v>0</v>
          </cell>
          <cell r="AE141" t="b">
            <v>0</v>
          </cell>
          <cell r="AF141" t="str">
            <v/>
          </cell>
        </row>
        <row r="142">
          <cell r="AA142" t="b">
            <v>0</v>
          </cell>
          <cell r="AB142" t="b">
            <v>0</v>
          </cell>
          <cell r="AC142" t="b">
            <v>0</v>
          </cell>
          <cell r="AD142" t="b">
            <v>0</v>
          </cell>
          <cell r="AE142" t="b">
            <v>0</v>
          </cell>
          <cell r="AF142" t="str">
            <v/>
          </cell>
        </row>
        <row r="143">
          <cell r="AA143" t="b">
            <v>0</v>
          </cell>
          <cell r="AB143" t="b">
            <v>0</v>
          </cell>
          <cell r="AC143" t="b">
            <v>0</v>
          </cell>
          <cell r="AD143" t="b">
            <v>0</v>
          </cell>
          <cell r="AE143" t="b">
            <v>0</v>
          </cell>
          <cell r="AF143" t="str">
            <v/>
          </cell>
        </row>
        <row r="144">
          <cell r="AA144" t="b">
            <v>0</v>
          </cell>
          <cell r="AB144" t="b">
            <v>0</v>
          </cell>
          <cell r="AC144" t="b">
            <v>0</v>
          </cell>
          <cell r="AD144" t="b">
            <v>0</v>
          </cell>
          <cell r="AE144" t="b">
            <v>0</v>
          </cell>
          <cell r="AF144" t="str">
            <v/>
          </cell>
        </row>
        <row r="145">
          <cell r="AA145" t="b">
            <v>0</v>
          </cell>
          <cell r="AB145" t="b">
            <v>0</v>
          </cell>
          <cell r="AC145" t="b">
            <v>0</v>
          </cell>
          <cell r="AD145" t="b">
            <v>0</v>
          </cell>
          <cell r="AE145" t="b">
            <v>0</v>
          </cell>
          <cell r="AF145" t="str">
            <v/>
          </cell>
        </row>
        <row r="146">
          <cell r="AA146" t="b">
            <v>0</v>
          </cell>
          <cell r="AB146" t="b">
            <v>0</v>
          </cell>
          <cell r="AC146" t="b">
            <v>0</v>
          </cell>
          <cell r="AD146" t="b">
            <v>0</v>
          </cell>
          <cell r="AE146" t="b">
            <v>0</v>
          </cell>
          <cell r="AF146" t="str">
            <v/>
          </cell>
        </row>
        <row r="147">
          <cell r="AA147" t="b">
            <v>0</v>
          </cell>
          <cell r="AB147" t="b">
            <v>0</v>
          </cell>
          <cell r="AC147" t="b">
            <v>0</v>
          </cell>
          <cell r="AD147" t="b">
            <v>0</v>
          </cell>
          <cell r="AE147" t="b">
            <v>0</v>
          </cell>
          <cell r="AF147" t="str">
            <v/>
          </cell>
        </row>
        <row r="148">
          <cell r="AA148" t="b">
            <v>0</v>
          </cell>
          <cell r="AB148" t="b">
            <v>0</v>
          </cell>
          <cell r="AC148" t="b">
            <v>0</v>
          </cell>
          <cell r="AD148" t="b">
            <v>0</v>
          </cell>
          <cell r="AE148" t="b">
            <v>0</v>
          </cell>
          <cell r="AF148" t="str">
            <v/>
          </cell>
        </row>
        <row r="149">
          <cell r="AA149" t="b">
            <v>0</v>
          </cell>
          <cell r="AB149" t="b">
            <v>0</v>
          </cell>
          <cell r="AC149" t="b">
            <v>0</v>
          </cell>
          <cell r="AD149" t="b">
            <v>0</v>
          </cell>
          <cell r="AE149" t="b">
            <v>0</v>
          </cell>
          <cell r="AF149" t="str">
            <v/>
          </cell>
        </row>
        <row r="150">
          <cell r="AA150" t="b">
            <v>0</v>
          </cell>
          <cell r="AB150" t="b">
            <v>0</v>
          </cell>
          <cell r="AC150" t="b">
            <v>0</v>
          </cell>
          <cell r="AD150" t="b">
            <v>0</v>
          </cell>
          <cell r="AE150" t="b">
            <v>0</v>
          </cell>
          <cell r="AF150" t="str">
            <v/>
          </cell>
        </row>
        <row r="151">
          <cell r="AA151" t="b">
            <v>0</v>
          </cell>
          <cell r="AB151" t="b">
            <v>0</v>
          </cell>
          <cell r="AC151" t="b">
            <v>0</v>
          </cell>
          <cell r="AD151" t="b">
            <v>0</v>
          </cell>
          <cell r="AE151" t="b">
            <v>0</v>
          </cell>
          <cell r="AF151" t="str">
            <v/>
          </cell>
        </row>
        <row r="152">
          <cell r="AA152" t="b">
            <v>0</v>
          </cell>
          <cell r="AB152" t="b">
            <v>0</v>
          </cell>
          <cell r="AC152" t="b">
            <v>0</v>
          </cell>
          <cell r="AD152" t="b">
            <v>0</v>
          </cell>
          <cell r="AE152" t="b">
            <v>0</v>
          </cell>
          <cell r="AF152" t="str">
            <v/>
          </cell>
        </row>
        <row r="153">
          <cell r="AA153" t="b">
            <v>0</v>
          </cell>
          <cell r="AB153" t="b">
            <v>0</v>
          </cell>
          <cell r="AC153" t="b">
            <v>0</v>
          </cell>
          <cell r="AD153" t="b">
            <v>0</v>
          </cell>
          <cell r="AE153" t="b">
            <v>0</v>
          </cell>
          <cell r="AF153" t="str">
            <v/>
          </cell>
        </row>
        <row r="154">
          <cell r="AA154" t="b">
            <v>0</v>
          </cell>
          <cell r="AB154" t="b">
            <v>0</v>
          </cell>
          <cell r="AC154" t="b">
            <v>0</v>
          </cell>
          <cell r="AD154" t="b">
            <v>0</v>
          </cell>
          <cell r="AE154" t="b">
            <v>0</v>
          </cell>
          <cell r="AF154" t="str">
            <v/>
          </cell>
        </row>
        <row r="155">
          <cell r="AA155" t="b">
            <v>0</v>
          </cell>
          <cell r="AB155" t="b">
            <v>0</v>
          </cell>
          <cell r="AC155" t="b">
            <v>0</v>
          </cell>
          <cell r="AD155" t="b">
            <v>0</v>
          </cell>
          <cell r="AE155" t="b">
            <v>0</v>
          </cell>
          <cell r="AF155" t="str">
            <v/>
          </cell>
        </row>
        <row r="156">
          <cell r="AA156" t="b">
            <v>0</v>
          </cell>
          <cell r="AB156" t="b">
            <v>0</v>
          </cell>
          <cell r="AC156" t="b">
            <v>0</v>
          </cell>
          <cell r="AD156" t="b">
            <v>0</v>
          </cell>
          <cell r="AE156" t="b">
            <v>0</v>
          </cell>
          <cell r="AF156" t="str">
            <v/>
          </cell>
        </row>
        <row r="157">
          <cell r="AA157" t="b">
            <v>0</v>
          </cell>
          <cell r="AB157" t="b">
            <v>0</v>
          </cell>
          <cell r="AC157" t="b">
            <v>0</v>
          </cell>
          <cell r="AD157" t="b">
            <v>0</v>
          </cell>
          <cell r="AE157" t="b">
            <v>0</v>
          </cell>
          <cell r="AF157" t="str">
            <v/>
          </cell>
        </row>
        <row r="158">
          <cell r="AA158" t="b">
            <v>0</v>
          </cell>
          <cell r="AB158" t="b">
            <v>0</v>
          </cell>
          <cell r="AC158" t="b">
            <v>0</v>
          </cell>
          <cell r="AD158" t="b">
            <v>0</v>
          </cell>
          <cell r="AE158" t="b">
            <v>0</v>
          </cell>
          <cell r="AF158" t="str">
            <v/>
          </cell>
        </row>
        <row r="159">
          <cell r="AA159" t="b">
            <v>0</v>
          </cell>
          <cell r="AB159" t="b">
            <v>0</v>
          </cell>
          <cell r="AC159" t="b">
            <v>0</v>
          </cell>
          <cell r="AD159" t="b">
            <v>0</v>
          </cell>
          <cell r="AE159" t="b">
            <v>0</v>
          </cell>
          <cell r="AF159" t="str">
            <v/>
          </cell>
        </row>
        <row r="160">
          <cell r="AA160" t="b">
            <v>0</v>
          </cell>
          <cell r="AB160" t="b">
            <v>0</v>
          </cell>
          <cell r="AC160" t="b">
            <v>0</v>
          </cell>
          <cell r="AD160" t="b">
            <v>0</v>
          </cell>
          <cell r="AE160" t="b">
            <v>0</v>
          </cell>
          <cell r="AF160" t="str">
            <v/>
          </cell>
        </row>
        <row r="161">
          <cell r="AA161" t="b">
            <v>0</v>
          </cell>
          <cell r="AB161" t="b">
            <v>0</v>
          </cell>
          <cell r="AC161" t="b">
            <v>0</v>
          </cell>
          <cell r="AD161" t="b">
            <v>0</v>
          </cell>
          <cell r="AE161" t="b">
            <v>0</v>
          </cell>
          <cell r="AF161" t="str">
            <v/>
          </cell>
        </row>
        <row r="162">
          <cell r="AA162" t="b">
            <v>0</v>
          </cell>
          <cell r="AB162" t="b">
            <v>0</v>
          </cell>
          <cell r="AC162" t="b">
            <v>0</v>
          </cell>
          <cell r="AD162" t="b">
            <v>0</v>
          </cell>
          <cell r="AE162" t="b">
            <v>0</v>
          </cell>
          <cell r="AF162" t="str">
            <v/>
          </cell>
        </row>
        <row r="163">
          <cell r="AA163" t="b">
            <v>0</v>
          </cell>
          <cell r="AB163" t="b">
            <v>0</v>
          </cell>
          <cell r="AC163" t="b">
            <v>0</v>
          </cell>
          <cell r="AD163" t="b">
            <v>0</v>
          </cell>
          <cell r="AE163" t="b">
            <v>0</v>
          </cell>
          <cell r="AF163" t="str">
            <v/>
          </cell>
        </row>
        <row r="164">
          <cell r="AA164" t="b">
            <v>0</v>
          </cell>
          <cell r="AB164" t="b">
            <v>0</v>
          </cell>
          <cell r="AC164" t="b">
            <v>0</v>
          </cell>
          <cell r="AD164" t="b">
            <v>0</v>
          </cell>
          <cell r="AE164" t="b">
            <v>0</v>
          </cell>
          <cell r="AF164" t="str">
            <v/>
          </cell>
        </row>
        <row r="165">
          <cell r="AA165" t="b">
            <v>0</v>
          </cell>
          <cell r="AB165" t="b">
            <v>0</v>
          </cell>
          <cell r="AC165" t="b">
            <v>0</v>
          </cell>
          <cell r="AD165" t="b">
            <v>0</v>
          </cell>
          <cell r="AE165" t="b">
            <v>0</v>
          </cell>
          <cell r="AF165" t="str">
            <v/>
          </cell>
        </row>
        <row r="166">
          <cell r="AA166" t="b">
            <v>0</v>
          </cell>
          <cell r="AB166" t="b">
            <v>0</v>
          </cell>
          <cell r="AC166" t="b">
            <v>0</v>
          </cell>
          <cell r="AD166" t="b">
            <v>0</v>
          </cell>
          <cell r="AE166" t="b">
            <v>0</v>
          </cell>
          <cell r="AF166" t="str">
            <v/>
          </cell>
        </row>
        <row r="167">
          <cell r="AA167" t="b">
            <v>0</v>
          </cell>
          <cell r="AB167" t="b">
            <v>0</v>
          </cell>
          <cell r="AC167" t="b">
            <v>0</v>
          </cell>
          <cell r="AD167" t="b">
            <v>0</v>
          </cell>
          <cell r="AE167" t="b">
            <v>0</v>
          </cell>
          <cell r="AF167" t="str">
            <v/>
          </cell>
        </row>
        <row r="168">
          <cell r="AA168" t="b">
            <v>0</v>
          </cell>
          <cell r="AB168" t="b">
            <v>0</v>
          </cell>
          <cell r="AC168" t="b">
            <v>0</v>
          </cell>
          <cell r="AD168" t="b">
            <v>0</v>
          </cell>
          <cell r="AE168" t="b">
            <v>0</v>
          </cell>
          <cell r="AF168" t="str">
            <v/>
          </cell>
        </row>
        <row r="169">
          <cell r="AA169" t="b">
            <v>0</v>
          </cell>
          <cell r="AB169" t="b">
            <v>0</v>
          </cell>
          <cell r="AC169" t="b">
            <v>0</v>
          </cell>
          <cell r="AD169" t="b">
            <v>0</v>
          </cell>
          <cell r="AE169" t="b">
            <v>0</v>
          </cell>
          <cell r="AF169" t="str">
            <v/>
          </cell>
        </row>
        <row r="170">
          <cell r="AA170" t="b">
            <v>0</v>
          </cell>
          <cell r="AB170" t="b">
            <v>0</v>
          </cell>
          <cell r="AC170" t="b">
            <v>0</v>
          </cell>
          <cell r="AD170" t="b">
            <v>0</v>
          </cell>
          <cell r="AE170" t="b">
            <v>0</v>
          </cell>
          <cell r="AF170" t="str">
            <v/>
          </cell>
        </row>
        <row r="171">
          <cell r="AA171" t="b">
            <v>0</v>
          </cell>
          <cell r="AB171" t="b">
            <v>0</v>
          </cell>
          <cell r="AC171" t="b">
            <v>0</v>
          </cell>
          <cell r="AD171" t="b">
            <v>0</v>
          </cell>
          <cell r="AE171" t="b">
            <v>0</v>
          </cell>
          <cell r="AF171" t="str">
            <v/>
          </cell>
        </row>
        <row r="172">
          <cell r="AA172" t="b">
            <v>0</v>
          </cell>
          <cell r="AB172" t="b">
            <v>0</v>
          </cell>
          <cell r="AC172" t="b">
            <v>0</v>
          </cell>
          <cell r="AD172" t="b">
            <v>0</v>
          </cell>
          <cell r="AE172" t="b">
            <v>0</v>
          </cell>
          <cell r="AF172" t="str">
            <v/>
          </cell>
        </row>
        <row r="173">
          <cell r="AA173" t="b">
            <v>0</v>
          </cell>
          <cell r="AB173" t="b">
            <v>0</v>
          </cell>
          <cell r="AC173" t="b">
            <v>0</v>
          </cell>
          <cell r="AD173" t="b">
            <v>0</v>
          </cell>
          <cell r="AE173" t="b">
            <v>0</v>
          </cell>
          <cell r="AF173" t="str">
            <v/>
          </cell>
        </row>
        <row r="174">
          <cell r="AA174" t="b">
            <v>0</v>
          </cell>
          <cell r="AB174" t="b">
            <v>0</v>
          </cell>
          <cell r="AC174" t="b">
            <v>0</v>
          </cell>
          <cell r="AD174" t="b">
            <v>0</v>
          </cell>
          <cell r="AE174" t="b">
            <v>0</v>
          </cell>
          <cell r="AF174" t="str">
            <v/>
          </cell>
        </row>
        <row r="175">
          <cell r="AA175" t="b">
            <v>0</v>
          </cell>
          <cell r="AB175" t="b">
            <v>0</v>
          </cell>
          <cell r="AC175" t="b">
            <v>0</v>
          </cell>
          <cell r="AD175" t="b">
            <v>0</v>
          </cell>
          <cell r="AE175" t="b">
            <v>0</v>
          </cell>
          <cell r="AF175" t="str">
            <v/>
          </cell>
        </row>
        <row r="176">
          <cell r="AA176" t="b">
            <v>0</v>
          </cell>
          <cell r="AB176" t="b">
            <v>0</v>
          </cell>
          <cell r="AC176" t="b">
            <v>0</v>
          </cell>
          <cell r="AD176" t="b">
            <v>0</v>
          </cell>
          <cell r="AE176" t="b">
            <v>0</v>
          </cell>
          <cell r="AF176" t="str">
            <v/>
          </cell>
        </row>
        <row r="177">
          <cell r="AA177" t="b">
            <v>0</v>
          </cell>
          <cell r="AB177" t="b">
            <v>0</v>
          </cell>
          <cell r="AC177" t="b">
            <v>0</v>
          </cell>
          <cell r="AD177" t="b">
            <v>0</v>
          </cell>
          <cell r="AE177" t="b">
            <v>0</v>
          </cell>
          <cell r="AF177" t="str">
            <v/>
          </cell>
        </row>
        <row r="178">
          <cell r="AA178" t="b">
            <v>0</v>
          </cell>
          <cell r="AB178" t="b">
            <v>0</v>
          </cell>
          <cell r="AC178" t="b">
            <v>0</v>
          </cell>
          <cell r="AD178" t="b">
            <v>0</v>
          </cell>
          <cell r="AE178" t="b">
            <v>0</v>
          </cell>
          <cell r="AF178" t="str">
            <v/>
          </cell>
        </row>
        <row r="179">
          <cell r="AA179" t="b">
            <v>0</v>
          </cell>
          <cell r="AB179" t="b">
            <v>0</v>
          </cell>
          <cell r="AC179" t="b">
            <v>0</v>
          </cell>
          <cell r="AD179" t="b">
            <v>0</v>
          </cell>
          <cell r="AE179" t="b">
            <v>0</v>
          </cell>
          <cell r="AF179" t="str">
            <v/>
          </cell>
        </row>
        <row r="180">
          <cell r="AA180" t="b">
            <v>0</v>
          </cell>
          <cell r="AB180" t="b">
            <v>0</v>
          </cell>
          <cell r="AC180" t="b">
            <v>0</v>
          </cell>
          <cell r="AD180" t="b">
            <v>0</v>
          </cell>
          <cell r="AE180" t="b">
            <v>0</v>
          </cell>
          <cell r="AF180" t="str">
            <v/>
          </cell>
        </row>
        <row r="181">
          <cell r="AA181" t="b">
            <v>0</v>
          </cell>
          <cell r="AB181" t="b">
            <v>0</v>
          </cell>
          <cell r="AC181" t="b">
            <v>0</v>
          </cell>
          <cell r="AD181" t="b">
            <v>0</v>
          </cell>
          <cell r="AE181" t="b">
            <v>0</v>
          </cell>
          <cell r="AF181" t="str">
            <v/>
          </cell>
        </row>
        <row r="182">
          <cell r="AA182" t="b">
            <v>0</v>
          </cell>
          <cell r="AB182" t="b">
            <v>0</v>
          </cell>
          <cell r="AC182" t="b">
            <v>0</v>
          </cell>
          <cell r="AD182" t="b">
            <v>0</v>
          </cell>
          <cell r="AE182" t="b">
            <v>0</v>
          </cell>
          <cell r="AF182" t="str">
            <v/>
          </cell>
        </row>
        <row r="183">
          <cell r="AA183" t="b">
            <v>0</v>
          </cell>
          <cell r="AB183" t="b">
            <v>0</v>
          </cell>
          <cell r="AC183" t="b">
            <v>0</v>
          </cell>
          <cell r="AD183" t="b">
            <v>0</v>
          </cell>
          <cell r="AE183" t="b">
            <v>0</v>
          </cell>
          <cell r="AF183" t="str">
            <v/>
          </cell>
        </row>
        <row r="184">
          <cell r="AA184" t="b">
            <v>0</v>
          </cell>
          <cell r="AB184" t="b">
            <v>0</v>
          </cell>
          <cell r="AC184" t="b">
            <v>0</v>
          </cell>
          <cell r="AD184" t="b">
            <v>0</v>
          </cell>
          <cell r="AE184" t="b">
            <v>0</v>
          </cell>
          <cell r="AF184" t="str">
            <v/>
          </cell>
        </row>
        <row r="185">
          <cell r="AA185" t="b">
            <v>0</v>
          </cell>
          <cell r="AB185" t="b">
            <v>0</v>
          </cell>
          <cell r="AC185" t="b">
            <v>0</v>
          </cell>
          <cell r="AD185" t="b">
            <v>0</v>
          </cell>
          <cell r="AE185" t="b">
            <v>0</v>
          </cell>
          <cell r="AF185" t="str">
            <v/>
          </cell>
        </row>
        <row r="186">
          <cell r="AA186" t="b">
            <v>0</v>
          </cell>
          <cell r="AB186" t="b">
            <v>0</v>
          </cell>
          <cell r="AC186" t="b">
            <v>0</v>
          </cell>
          <cell r="AD186" t="b">
            <v>0</v>
          </cell>
          <cell r="AE186" t="b">
            <v>0</v>
          </cell>
          <cell r="AF186" t="str">
            <v/>
          </cell>
        </row>
        <row r="187">
          <cell r="AA187" t="b">
            <v>0</v>
          </cell>
          <cell r="AB187" t="b">
            <v>0</v>
          </cell>
          <cell r="AC187" t="b">
            <v>0</v>
          </cell>
          <cell r="AD187" t="b">
            <v>0</v>
          </cell>
          <cell r="AE187" t="b">
            <v>0</v>
          </cell>
          <cell r="AF187" t="str">
            <v/>
          </cell>
        </row>
        <row r="188">
          <cell r="AA188" t="b">
            <v>0</v>
          </cell>
          <cell r="AB188" t="b">
            <v>0</v>
          </cell>
          <cell r="AC188" t="b">
            <v>0</v>
          </cell>
          <cell r="AD188" t="b">
            <v>0</v>
          </cell>
          <cell r="AE188" t="b">
            <v>0</v>
          </cell>
          <cell r="AF188" t="str">
            <v/>
          </cell>
        </row>
        <row r="189">
          <cell r="AA189" t="b">
            <v>0</v>
          </cell>
          <cell r="AB189" t="b">
            <v>0</v>
          </cell>
          <cell r="AC189" t="b">
            <v>0</v>
          </cell>
          <cell r="AD189" t="b">
            <v>0</v>
          </cell>
          <cell r="AE189" t="b">
            <v>0</v>
          </cell>
          <cell r="AF189" t="str">
            <v/>
          </cell>
        </row>
        <row r="190">
          <cell r="AA190" t="b">
            <v>0</v>
          </cell>
          <cell r="AB190" t="b">
            <v>0</v>
          </cell>
          <cell r="AC190" t="b">
            <v>0</v>
          </cell>
          <cell r="AD190" t="b">
            <v>0</v>
          </cell>
          <cell r="AE190" t="b">
            <v>0</v>
          </cell>
          <cell r="AF190" t="str">
            <v/>
          </cell>
        </row>
        <row r="191">
          <cell r="AA191" t="b">
            <v>0</v>
          </cell>
          <cell r="AB191" t="b">
            <v>0</v>
          </cell>
          <cell r="AC191" t="b">
            <v>0</v>
          </cell>
          <cell r="AD191" t="b">
            <v>0</v>
          </cell>
          <cell r="AE191" t="b">
            <v>0</v>
          </cell>
          <cell r="AF191" t="str">
            <v/>
          </cell>
        </row>
        <row r="192">
          <cell r="AA192" t="b">
            <v>0</v>
          </cell>
          <cell r="AB192" t="b">
            <v>0</v>
          </cell>
          <cell r="AC192" t="b">
            <v>0</v>
          </cell>
          <cell r="AD192" t="b">
            <v>0</v>
          </cell>
          <cell r="AE192" t="b">
            <v>0</v>
          </cell>
          <cell r="AF192" t="str">
            <v/>
          </cell>
        </row>
        <row r="193">
          <cell r="AA193" t="b">
            <v>0</v>
          </cell>
          <cell r="AB193" t="b">
            <v>0</v>
          </cell>
          <cell r="AC193" t="b">
            <v>0</v>
          </cell>
          <cell r="AD193" t="b">
            <v>0</v>
          </cell>
          <cell r="AE193" t="b">
            <v>0</v>
          </cell>
          <cell r="AF193" t="str">
            <v/>
          </cell>
        </row>
        <row r="194">
          <cell r="AA194" t="b">
            <v>0</v>
          </cell>
          <cell r="AB194" t="b">
            <v>0</v>
          </cell>
          <cell r="AC194" t="b">
            <v>0</v>
          </cell>
          <cell r="AD194" t="b">
            <v>0</v>
          </cell>
          <cell r="AE194" t="b">
            <v>0</v>
          </cell>
          <cell r="AF194" t="str">
            <v/>
          </cell>
        </row>
        <row r="195">
          <cell r="AA195" t="b">
            <v>0</v>
          </cell>
          <cell r="AB195" t="b">
            <v>0</v>
          </cell>
          <cell r="AC195" t="b">
            <v>0</v>
          </cell>
          <cell r="AD195" t="b">
            <v>0</v>
          </cell>
          <cell r="AE195" t="b">
            <v>0</v>
          </cell>
          <cell r="AF195" t="str">
            <v/>
          </cell>
        </row>
        <row r="196">
          <cell r="AA196" t="b">
            <v>0</v>
          </cell>
          <cell r="AB196" t="b">
            <v>0</v>
          </cell>
          <cell r="AC196" t="b">
            <v>0</v>
          </cell>
          <cell r="AD196" t="b">
            <v>0</v>
          </cell>
          <cell r="AE196" t="b">
            <v>0</v>
          </cell>
          <cell r="AF196" t="str">
            <v/>
          </cell>
        </row>
        <row r="197">
          <cell r="AA197" t="b">
            <v>0</v>
          </cell>
          <cell r="AB197" t="b">
            <v>0</v>
          </cell>
          <cell r="AC197" t="b">
            <v>0</v>
          </cell>
          <cell r="AD197" t="b">
            <v>0</v>
          </cell>
          <cell r="AE197" t="b">
            <v>0</v>
          </cell>
          <cell r="AF197" t="str">
            <v/>
          </cell>
        </row>
        <row r="198">
          <cell r="AA198" t="b">
            <v>0</v>
          </cell>
          <cell r="AB198" t="b">
            <v>0</v>
          </cell>
          <cell r="AC198" t="b">
            <v>0</v>
          </cell>
          <cell r="AD198" t="b">
            <v>0</v>
          </cell>
          <cell r="AE198" t="b">
            <v>0</v>
          </cell>
          <cell r="AF198" t="str">
            <v/>
          </cell>
        </row>
        <row r="199">
          <cell r="AA199" t="b">
            <v>0</v>
          </cell>
          <cell r="AB199" t="b">
            <v>0</v>
          </cell>
          <cell r="AC199" t="b">
            <v>0</v>
          </cell>
          <cell r="AD199" t="b">
            <v>0</v>
          </cell>
          <cell r="AE199" t="b">
            <v>0</v>
          </cell>
          <cell r="AF199" t="str">
            <v/>
          </cell>
        </row>
        <row r="200">
          <cell r="AA200" t="b">
            <v>0</v>
          </cell>
          <cell r="AB200" t="b">
            <v>0</v>
          </cell>
          <cell r="AC200" t="b">
            <v>0</v>
          </cell>
          <cell r="AD200" t="b">
            <v>0</v>
          </cell>
          <cell r="AE200" t="b">
            <v>0</v>
          </cell>
          <cell r="AF200" t="str">
            <v/>
          </cell>
        </row>
        <row r="201">
          <cell r="AA201" t="b">
            <v>0</v>
          </cell>
          <cell r="AB201" t="b">
            <v>0</v>
          </cell>
          <cell r="AC201" t="b">
            <v>0</v>
          </cell>
          <cell r="AD201" t="b">
            <v>0</v>
          </cell>
          <cell r="AE201" t="b">
            <v>0</v>
          </cell>
          <cell r="AF201" t="str">
            <v/>
          </cell>
        </row>
        <row r="202">
          <cell r="AA202" t="b">
            <v>0</v>
          </cell>
          <cell r="AB202" t="b">
            <v>0</v>
          </cell>
          <cell r="AC202" t="b">
            <v>0</v>
          </cell>
          <cell r="AD202" t="b">
            <v>0</v>
          </cell>
          <cell r="AE202" t="b">
            <v>0</v>
          </cell>
          <cell r="AF202" t="str">
            <v/>
          </cell>
        </row>
        <row r="203">
          <cell r="AA203" t="b">
            <v>0</v>
          </cell>
          <cell r="AB203" t="b">
            <v>0</v>
          </cell>
          <cell r="AC203" t="b">
            <v>0</v>
          </cell>
          <cell r="AD203" t="b">
            <v>0</v>
          </cell>
          <cell r="AE203" t="b">
            <v>0</v>
          </cell>
          <cell r="AF203" t="str">
            <v/>
          </cell>
        </row>
        <row r="204">
          <cell r="AA204" t="b">
            <v>0</v>
          </cell>
          <cell r="AB204" t="b">
            <v>0</v>
          </cell>
          <cell r="AC204" t="b">
            <v>0</v>
          </cell>
          <cell r="AD204" t="b">
            <v>0</v>
          </cell>
          <cell r="AE204" t="b">
            <v>0</v>
          </cell>
          <cell r="AF204" t="str">
            <v/>
          </cell>
        </row>
        <row r="205">
          <cell r="AA205" t="b">
            <v>0</v>
          </cell>
          <cell r="AB205" t="b">
            <v>0</v>
          </cell>
          <cell r="AC205" t="b">
            <v>0</v>
          </cell>
          <cell r="AD205" t="b">
            <v>0</v>
          </cell>
          <cell r="AE205" t="b">
            <v>0</v>
          </cell>
          <cell r="AF205" t="str">
            <v/>
          </cell>
        </row>
        <row r="206">
          <cell r="AA206" t="b">
            <v>0</v>
          </cell>
          <cell r="AB206" t="b">
            <v>0</v>
          </cell>
          <cell r="AC206" t="b">
            <v>0</v>
          </cell>
          <cell r="AD206" t="b">
            <v>0</v>
          </cell>
          <cell r="AE206" t="b">
            <v>0</v>
          </cell>
          <cell r="AF206" t="str">
            <v/>
          </cell>
        </row>
        <row r="207">
          <cell r="AA207" t="b">
            <v>0</v>
          </cell>
          <cell r="AB207" t="b">
            <v>0</v>
          </cell>
          <cell r="AC207" t="b">
            <v>0</v>
          </cell>
          <cell r="AD207" t="b">
            <v>0</v>
          </cell>
          <cell r="AE207" t="b">
            <v>0</v>
          </cell>
          <cell r="AF207" t="str">
            <v/>
          </cell>
        </row>
        <row r="208">
          <cell r="AA208" t="b">
            <v>0</v>
          </cell>
          <cell r="AB208" t="b">
            <v>0</v>
          </cell>
          <cell r="AC208" t="b">
            <v>0</v>
          </cell>
          <cell r="AD208" t="b">
            <v>0</v>
          </cell>
          <cell r="AE208" t="b">
            <v>0</v>
          </cell>
          <cell r="AF208" t="str">
            <v/>
          </cell>
        </row>
        <row r="209">
          <cell r="AA209" t="b">
            <v>0</v>
          </cell>
          <cell r="AB209" t="b">
            <v>0</v>
          </cell>
          <cell r="AC209" t="b">
            <v>0</v>
          </cell>
          <cell r="AD209" t="b">
            <v>0</v>
          </cell>
          <cell r="AE209" t="b">
            <v>0</v>
          </cell>
          <cell r="AF209" t="str">
            <v/>
          </cell>
        </row>
        <row r="210">
          <cell r="AA210" t="b">
            <v>0</v>
          </cell>
          <cell r="AB210" t="b">
            <v>0</v>
          </cell>
          <cell r="AC210" t="b">
            <v>0</v>
          </cell>
          <cell r="AD210" t="b">
            <v>0</v>
          </cell>
          <cell r="AE210" t="b">
            <v>0</v>
          </cell>
          <cell r="AF210" t="str">
            <v/>
          </cell>
        </row>
        <row r="211">
          <cell r="AA211" t="b">
            <v>0</v>
          </cell>
          <cell r="AB211" t="b">
            <v>0</v>
          </cell>
          <cell r="AC211" t="b">
            <v>0</v>
          </cell>
          <cell r="AD211" t="b">
            <v>0</v>
          </cell>
          <cell r="AE211" t="b">
            <v>0</v>
          </cell>
          <cell r="AF211" t="str">
            <v/>
          </cell>
        </row>
        <row r="212">
          <cell r="AA212" t="b">
            <v>0</v>
          </cell>
          <cell r="AB212" t="b">
            <v>0</v>
          </cell>
          <cell r="AC212" t="b">
            <v>0</v>
          </cell>
          <cell r="AD212" t="b">
            <v>0</v>
          </cell>
          <cell r="AE212" t="b">
            <v>0</v>
          </cell>
          <cell r="AF212" t="str">
            <v/>
          </cell>
        </row>
        <row r="213">
          <cell r="AA213" t="b">
            <v>0</v>
          </cell>
          <cell r="AB213" t="b">
            <v>0</v>
          </cell>
          <cell r="AC213" t="b">
            <v>0</v>
          </cell>
          <cell r="AD213" t="b">
            <v>0</v>
          </cell>
          <cell r="AE213" t="b">
            <v>0</v>
          </cell>
          <cell r="AF213" t="str">
            <v/>
          </cell>
        </row>
        <row r="214">
          <cell r="AA214" t="b">
            <v>0</v>
          </cell>
          <cell r="AB214" t="b">
            <v>0</v>
          </cell>
          <cell r="AC214" t="b">
            <v>0</v>
          </cell>
          <cell r="AD214" t="b">
            <v>0</v>
          </cell>
          <cell r="AE214" t="b">
            <v>0</v>
          </cell>
          <cell r="AF214" t="str">
            <v/>
          </cell>
        </row>
        <row r="215">
          <cell r="AA215" t="b">
            <v>0</v>
          </cell>
          <cell r="AB215" t="b">
            <v>0</v>
          </cell>
          <cell r="AC215" t="b">
            <v>0</v>
          </cell>
          <cell r="AD215" t="b">
            <v>0</v>
          </cell>
          <cell r="AE215" t="b">
            <v>0</v>
          </cell>
          <cell r="AF215" t="str">
            <v/>
          </cell>
        </row>
        <row r="216">
          <cell r="AA216" t="b">
            <v>0</v>
          </cell>
          <cell r="AB216" t="b">
            <v>0</v>
          </cell>
          <cell r="AC216" t="b">
            <v>0</v>
          </cell>
          <cell r="AD216" t="b">
            <v>0</v>
          </cell>
          <cell r="AE216" t="b">
            <v>0</v>
          </cell>
          <cell r="AF216" t="str">
            <v/>
          </cell>
        </row>
        <row r="217">
          <cell r="AA217" t="b">
            <v>0</v>
          </cell>
          <cell r="AB217" t="b">
            <v>0</v>
          </cell>
          <cell r="AC217" t="b">
            <v>0</v>
          </cell>
          <cell r="AD217" t="b">
            <v>0</v>
          </cell>
          <cell r="AE217" t="b">
            <v>0</v>
          </cell>
          <cell r="AF217" t="str">
            <v/>
          </cell>
        </row>
        <row r="218">
          <cell r="AA218" t="b">
            <v>0</v>
          </cell>
          <cell r="AB218" t="b">
            <v>0</v>
          </cell>
          <cell r="AC218" t="b">
            <v>0</v>
          </cell>
          <cell r="AD218" t="b">
            <v>0</v>
          </cell>
          <cell r="AE218" t="b">
            <v>0</v>
          </cell>
          <cell r="AF218" t="str">
            <v/>
          </cell>
        </row>
        <row r="219">
          <cell r="AA219" t="b">
            <v>0</v>
          </cell>
          <cell r="AB219" t="b">
            <v>0</v>
          </cell>
          <cell r="AC219" t="b">
            <v>0</v>
          </cell>
          <cell r="AD219" t="b">
            <v>0</v>
          </cell>
          <cell r="AE219" t="b">
            <v>0</v>
          </cell>
          <cell r="AF219" t="str">
            <v/>
          </cell>
        </row>
        <row r="220">
          <cell r="AA220" t="b">
            <v>0</v>
          </cell>
          <cell r="AB220" t="b">
            <v>0</v>
          </cell>
          <cell r="AC220" t="b">
            <v>0</v>
          </cell>
          <cell r="AD220" t="b">
            <v>0</v>
          </cell>
          <cell r="AE220" t="b">
            <v>0</v>
          </cell>
          <cell r="AF220" t="str">
            <v/>
          </cell>
        </row>
        <row r="221">
          <cell r="AA221" t="b">
            <v>0</v>
          </cell>
          <cell r="AB221" t="b">
            <v>0</v>
          </cell>
          <cell r="AC221" t="b">
            <v>0</v>
          </cell>
          <cell r="AD221" t="b">
            <v>0</v>
          </cell>
          <cell r="AE221" t="b">
            <v>0</v>
          </cell>
          <cell r="AF221" t="str">
            <v/>
          </cell>
        </row>
        <row r="222">
          <cell r="AA222" t="b">
            <v>0</v>
          </cell>
          <cell r="AB222" t="b">
            <v>0</v>
          </cell>
          <cell r="AC222" t="b">
            <v>0</v>
          </cell>
          <cell r="AD222" t="b">
            <v>0</v>
          </cell>
          <cell r="AE222" t="b">
            <v>0</v>
          </cell>
          <cell r="AF222" t="str">
            <v/>
          </cell>
        </row>
        <row r="223">
          <cell r="AA223" t="b">
            <v>0</v>
          </cell>
          <cell r="AB223" t="b">
            <v>0</v>
          </cell>
          <cell r="AC223" t="b">
            <v>0</v>
          </cell>
          <cell r="AD223" t="b">
            <v>0</v>
          </cell>
          <cell r="AE223" t="b">
            <v>0</v>
          </cell>
          <cell r="AF223" t="str">
            <v/>
          </cell>
        </row>
        <row r="224">
          <cell r="AA224" t="b">
            <v>0</v>
          </cell>
          <cell r="AB224" t="b">
            <v>0</v>
          </cell>
          <cell r="AC224" t="b">
            <v>0</v>
          </cell>
          <cell r="AD224" t="b">
            <v>0</v>
          </cell>
          <cell r="AE224" t="b">
            <v>0</v>
          </cell>
          <cell r="AF224" t="str">
            <v/>
          </cell>
        </row>
        <row r="225">
          <cell r="AA225" t="b">
            <v>0</v>
          </cell>
          <cell r="AB225" t="b">
            <v>0</v>
          </cell>
          <cell r="AC225" t="b">
            <v>0</v>
          </cell>
          <cell r="AD225" t="b">
            <v>0</v>
          </cell>
          <cell r="AE225" t="b">
            <v>0</v>
          </cell>
          <cell r="AF225" t="str">
            <v/>
          </cell>
        </row>
        <row r="226">
          <cell r="AA226" t="b">
            <v>0</v>
          </cell>
          <cell r="AB226" t="b">
            <v>0</v>
          </cell>
          <cell r="AC226" t="b">
            <v>0</v>
          </cell>
          <cell r="AD226" t="b">
            <v>0</v>
          </cell>
          <cell r="AE226" t="b">
            <v>0</v>
          </cell>
          <cell r="AF226" t="str">
            <v/>
          </cell>
        </row>
        <row r="227">
          <cell r="AA227" t="b">
            <v>0</v>
          </cell>
          <cell r="AB227" t="b">
            <v>0</v>
          </cell>
          <cell r="AC227" t="b">
            <v>0</v>
          </cell>
          <cell r="AD227" t="b">
            <v>0</v>
          </cell>
          <cell r="AE227" t="b">
            <v>0</v>
          </cell>
          <cell r="AF227" t="str">
            <v/>
          </cell>
        </row>
        <row r="228">
          <cell r="AA228" t="b">
            <v>0</v>
          </cell>
          <cell r="AB228" t="b">
            <v>0</v>
          </cell>
          <cell r="AC228" t="b">
            <v>0</v>
          </cell>
          <cell r="AD228" t="b">
            <v>0</v>
          </cell>
          <cell r="AE228" t="b">
            <v>0</v>
          </cell>
          <cell r="AF228" t="str">
            <v/>
          </cell>
        </row>
        <row r="229">
          <cell r="AA229" t="b">
            <v>0</v>
          </cell>
          <cell r="AB229" t="b">
            <v>0</v>
          </cell>
          <cell r="AC229" t="b">
            <v>0</v>
          </cell>
          <cell r="AD229" t="b">
            <v>0</v>
          </cell>
          <cell r="AE229" t="b">
            <v>0</v>
          </cell>
          <cell r="AF229" t="str">
            <v/>
          </cell>
        </row>
        <row r="230">
          <cell r="AA230" t="b">
            <v>0</v>
          </cell>
          <cell r="AB230" t="b">
            <v>0</v>
          </cell>
          <cell r="AC230" t="b">
            <v>0</v>
          </cell>
          <cell r="AD230" t="b">
            <v>0</v>
          </cell>
          <cell r="AE230" t="b">
            <v>0</v>
          </cell>
          <cell r="AF230" t="str">
            <v/>
          </cell>
        </row>
        <row r="231">
          <cell r="AA231" t="b">
            <v>0</v>
          </cell>
          <cell r="AB231" t="b">
            <v>0</v>
          </cell>
          <cell r="AC231" t="b">
            <v>0</v>
          </cell>
          <cell r="AD231" t="b">
            <v>0</v>
          </cell>
          <cell r="AE231" t="b">
            <v>0</v>
          </cell>
          <cell r="AF231" t="str">
            <v/>
          </cell>
        </row>
        <row r="232">
          <cell r="AA232" t="b">
            <v>0</v>
          </cell>
          <cell r="AB232" t="b">
            <v>0</v>
          </cell>
          <cell r="AC232" t="b">
            <v>0</v>
          </cell>
          <cell r="AD232" t="b">
            <v>0</v>
          </cell>
          <cell r="AE232" t="b">
            <v>0</v>
          </cell>
          <cell r="AF232" t="str">
            <v/>
          </cell>
        </row>
        <row r="233">
          <cell r="AA233" t="b">
            <v>0</v>
          </cell>
          <cell r="AB233" t="b">
            <v>0</v>
          </cell>
          <cell r="AC233" t="b">
            <v>0</v>
          </cell>
          <cell r="AD233" t="b">
            <v>0</v>
          </cell>
          <cell r="AE233" t="b">
            <v>0</v>
          </cell>
          <cell r="AF233" t="str">
            <v/>
          </cell>
        </row>
        <row r="234">
          <cell r="AA234" t="b">
            <v>0</v>
          </cell>
          <cell r="AB234" t="b">
            <v>0</v>
          </cell>
          <cell r="AC234" t="b">
            <v>0</v>
          </cell>
          <cell r="AD234" t="b">
            <v>0</v>
          </cell>
          <cell r="AE234" t="b">
            <v>0</v>
          </cell>
          <cell r="AF234" t="str">
            <v/>
          </cell>
        </row>
        <row r="235">
          <cell r="AA235" t="b">
            <v>0</v>
          </cell>
          <cell r="AB235" t="b">
            <v>0</v>
          </cell>
          <cell r="AC235" t="b">
            <v>0</v>
          </cell>
          <cell r="AD235" t="b">
            <v>0</v>
          </cell>
          <cell r="AE235" t="b">
            <v>0</v>
          </cell>
          <cell r="AF235" t="str">
            <v/>
          </cell>
        </row>
        <row r="236">
          <cell r="AA236" t="b">
            <v>0</v>
          </cell>
          <cell r="AB236" t="b">
            <v>0</v>
          </cell>
          <cell r="AC236" t="b">
            <v>0</v>
          </cell>
          <cell r="AD236" t="b">
            <v>0</v>
          </cell>
          <cell r="AE236" t="b">
            <v>0</v>
          </cell>
          <cell r="AF236" t="str">
            <v/>
          </cell>
        </row>
        <row r="237">
          <cell r="AA237" t="b">
            <v>0</v>
          </cell>
          <cell r="AB237" t="b">
            <v>0</v>
          </cell>
          <cell r="AC237" t="b">
            <v>0</v>
          </cell>
          <cell r="AD237" t="b">
            <v>0</v>
          </cell>
          <cell r="AE237" t="b">
            <v>0</v>
          </cell>
          <cell r="AF237" t="str">
            <v/>
          </cell>
        </row>
        <row r="238">
          <cell r="AA238" t="b">
            <v>0</v>
          </cell>
          <cell r="AB238" t="b">
            <v>0</v>
          </cell>
          <cell r="AC238" t="b">
            <v>0</v>
          </cell>
          <cell r="AD238" t="b">
            <v>0</v>
          </cell>
          <cell r="AE238" t="b">
            <v>0</v>
          </cell>
          <cell r="AF238" t="str">
            <v/>
          </cell>
        </row>
        <row r="239">
          <cell r="AA239" t="b">
            <v>0</v>
          </cell>
          <cell r="AB239" t="b">
            <v>0</v>
          </cell>
          <cell r="AC239" t="b">
            <v>0</v>
          </cell>
          <cell r="AD239" t="b">
            <v>0</v>
          </cell>
          <cell r="AE239" t="b">
            <v>0</v>
          </cell>
          <cell r="AF239" t="str">
            <v/>
          </cell>
        </row>
        <row r="240">
          <cell r="AA240" t="b">
            <v>0</v>
          </cell>
          <cell r="AB240" t="b">
            <v>0</v>
          </cell>
          <cell r="AC240" t="b">
            <v>0</v>
          </cell>
          <cell r="AD240" t="b">
            <v>0</v>
          </cell>
          <cell r="AE240" t="b">
            <v>0</v>
          </cell>
          <cell r="AF240" t="str">
            <v/>
          </cell>
        </row>
        <row r="241">
          <cell r="AA241" t="b">
            <v>0</v>
          </cell>
          <cell r="AB241" t="b">
            <v>0</v>
          </cell>
          <cell r="AC241" t="b">
            <v>0</v>
          </cell>
          <cell r="AD241" t="b">
            <v>0</v>
          </cell>
          <cell r="AE241" t="b">
            <v>0</v>
          </cell>
          <cell r="AF241" t="str">
            <v/>
          </cell>
        </row>
        <row r="242">
          <cell r="AA242" t="b">
            <v>0</v>
          </cell>
          <cell r="AB242" t="b">
            <v>0</v>
          </cell>
          <cell r="AC242" t="b">
            <v>0</v>
          </cell>
          <cell r="AD242" t="b">
            <v>0</v>
          </cell>
          <cell r="AE242" t="b">
            <v>0</v>
          </cell>
          <cell r="AF242" t="str">
            <v/>
          </cell>
        </row>
        <row r="243">
          <cell r="AA243" t="b">
            <v>0</v>
          </cell>
          <cell r="AB243" t="b">
            <v>0</v>
          </cell>
          <cell r="AC243" t="b">
            <v>0</v>
          </cell>
          <cell r="AD243" t="b">
            <v>0</v>
          </cell>
          <cell r="AE243" t="b">
            <v>0</v>
          </cell>
          <cell r="AF243" t="str">
            <v/>
          </cell>
        </row>
        <row r="244">
          <cell r="AA244" t="b">
            <v>0</v>
          </cell>
          <cell r="AB244" t="b">
            <v>0</v>
          </cell>
          <cell r="AC244" t="b">
            <v>0</v>
          </cell>
          <cell r="AD244" t="b">
            <v>0</v>
          </cell>
          <cell r="AE244" t="b">
            <v>0</v>
          </cell>
          <cell r="AF244" t="str">
            <v/>
          </cell>
        </row>
        <row r="245">
          <cell r="AA245" t="b">
            <v>0</v>
          </cell>
          <cell r="AB245" t="b">
            <v>0</v>
          </cell>
          <cell r="AC245" t="b">
            <v>0</v>
          </cell>
          <cell r="AD245" t="b">
            <v>0</v>
          </cell>
          <cell r="AE245" t="b">
            <v>0</v>
          </cell>
          <cell r="AF245" t="str">
            <v/>
          </cell>
        </row>
        <row r="246">
          <cell r="AA246" t="b">
            <v>0</v>
          </cell>
          <cell r="AB246" t="b">
            <v>0</v>
          </cell>
          <cell r="AC246" t="b">
            <v>0</v>
          </cell>
          <cell r="AD246" t="b">
            <v>0</v>
          </cell>
          <cell r="AE246" t="b">
            <v>0</v>
          </cell>
          <cell r="AF246" t="str">
            <v/>
          </cell>
        </row>
        <row r="247">
          <cell r="AA247" t="b">
            <v>0</v>
          </cell>
          <cell r="AB247" t="b">
            <v>0</v>
          </cell>
          <cell r="AC247" t="b">
            <v>0</v>
          </cell>
          <cell r="AD247" t="b">
            <v>0</v>
          </cell>
          <cell r="AE247" t="b">
            <v>0</v>
          </cell>
          <cell r="AF247" t="str">
            <v/>
          </cell>
        </row>
        <row r="248">
          <cell r="AA248" t="b">
            <v>0</v>
          </cell>
          <cell r="AB248" t="b">
            <v>0</v>
          </cell>
          <cell r="AC248" t="b">
            <v>0</v>
          </cell>
          <cell r="AD248" t="b">
            <v>0</v>
          </cell>
          <cell r="AE248" t="b">
            <v>0</v>
          </cell>
          <cell r="AF248" t="str">
            <v/>
          </cell>
        </row>
        <row r="249">
          <cell r="AA249" t="b">
            <v>0</v>
          </cell>
          <cell r="AB249" t="b">
            <v>0</v>
          </cell>
          <cell r="AC249" t="b">
            <v>0</v>
          </cell>
          <cell r="AD249" t="b">
            <v>0</v>
          </cell>
          <cell r="AE249" t="b">
            <v>0</v>
          </cell>
          <cell r="AF249" t="str">
            <v/>
          </cell>
        </row>
        <row r="250">
          <cell r="AA250" t="b">
            <v>0</v>
          </cell>
          <cell r="AB250" t="b">
            <v>0</v>
          </cell>
          <cell r="AC250" t="b">
            <v>0</v>
          </cell>
          <cell r="AD250" t="b">
            <v>0</v>
          </cell>
          <cell r="AE250" t="b">
            <v>0</v>
          </cell>
          <cell r="AF250" t="str">
            <v/>
          </cell>
        </row>
        <row r="251">
          <cell r="AA251" t="b">
            <v>0</v>
          </cell>
          <cell r="AB251" t="b">
            <v>0</v>
          </cell>
          <cell r="AC251" t="b">
            <v>0</v>
          </cell>
          <cell r="AD251" t="b">
            <v>0</v>
          </cell>
          <cell r="AE251" t="b">
            <v>0</v>
          </cell>
          <cell r="AF251" t="str">
            <v/>
          </cell>
        </row>
        <row r="252">
          <cell r="AA252" t="b">
            <v>0</v>
          </cell>
          <cell r="AB252" t="b">
            <v>0</v>
          </cell>
          <cell r="AC252" t="b">
            <v>0</v>
          </cell>
          <cell r="AD252" t="b">
            <v>0</v>
          </cell>
          <cell r="AE252" t="b">
            <v>0</v>
          </cell>
          <cell r="AF252" t="str">
            <v/>
          </cell>
        </row>
        <row r="253">
          <cell r="AA253" t="b">
            <v>0</v>
          </cell>
          <cell r="AB253" t="b">
            <v>0</v>
          </cell>
          <cell r="AC253" t="b">
            <v>0</v>
          </cell>
          <cell r="AD253" t="b">
            <v>0</v>
          </cell>
          <cell r="AE253" t="b">
            <v>0</v>
          </cell>
          <cell r="AF253" t="str">
            <v/>
          </cell>
        </row>
        <row r="254">
          <cell r="AA254" t="b">
            <v>0</v>
          </cell>
          <cell r="AB254" t="b">
            <v>0</v>
          </cell>
          <cell r="AC254" t="b">
            <v>0</v>
          </cell>
          <cell r="AD254" t="b">
            <v>0</v>
          </cell>
          <cell r="AE254" t="b">
            <v>0</v>
          </cell>
          <cell r="AF254" t="str">
            <v/>
          </cell>
        </row>
        <row r="255">
          <cell r="AA255" t="b">
            <v>0</v>
          </cell>
          <cell r="AB255" t="b">
            <v>0</v>
          </cell>
          <cell r="AC255" t="b">
            <v>0</v>
          </cell>
          <cell r="AD255" t="b">
            <v>0</v>
          </cell>
          <cell r="AE255" t="b">
            <v>0</v>
          </cell>
          <cell r="AF255" t="str">
            <v/>
          </cell>
        </row>
        <row r="256">
          <cell r="AA256" t="b">
            <v>0</v>
          </cell>
          <cell r="AB256" t="b">
            <v>0</v>
          </cell>
          <cell r="AC256" t="b">
            <v>0</v>
          </cell>
          <cell r="AD256" t="b">
            <v>0</v>
          </cell>
          <cell r="AE256" t="b">
            <v>0</v>
          </cell>
          <cell r="AF256" t="str">
            <v/>
          </cell>
        </row>
        <row r="257">
          <cell r="AA257" t="b">
            <v>0</v>
          </cell>
          <cell r="AB257" t="b">
            <v>0</v>
          </cell>
          <cell r="AC257" t="b">
            <v>0</v>
          </cell>
          <cell r="AD257" t="b">
            <v>0</v>
          </cell>
          <cell r="AE257" t="b">
            <v>0</v>
          </cell>
          <cell r="AF257" t="str">
            <v/>
          </cell>
        </row>
        <row r="258">
          <cell r="AA258" t="b">
            <v>0</v>
          </cell>
          <cell r="AB258" t="b">
            <v>0</v>
          </cell>
          <cell r="AC258" t="b">
            <v>0</v>
          </cell>
          <cell r="AD258" t="b">
            <v>0</v>
          </cell>
          <cell r="AE258" t="b">
            <v>0</v>
          </cell>
          <cell r="AF258" t="str">
            <v/>
          </cell>
        </row>
        <row r="259">
          <cell r="AA259" t="b">
            <v>0</v>
          </cell>
          <cell r="AB259" t="b">
            <v>0</v>
          </cell>
          <cell r="AC259" t="b">
            <v>0</v>
          </cell>
          <cell r="AD259" t="b">
            <v>0</v>
          </cell>
          <cell r="AE259" t="b">
            <v>0</v>
          </cell>
          <cell r="AF259" t="str">
            <v/>
          </cell>
        </row>
        <row r="260">
          <cell r="AA260" t="b">
            <v>0</v>
          </cell>
          <cell r="AB260" t="b">
            <v>0</v>
          </cell>
          <cell r="AC260" t="b">
            <v>0</v>
          </cell>
          <cell r="AD260" t="b">
            <v>0</v>
          </cell>
          <cell r="AE260" t="b">
            <v>0</v>
          </cell>
          <cell r="AF260" t="str">
            <v/>
          </cell>
        </row>
        <row r="261">
          <cell r="AA261" t="b">
            <v>0</v>
          </cell>
          <cell r="AB261" t="b">
            <v>0</v>
          </cell>
          <cell r="AC261" t="b">
            <v>0</v>
          </cell>
          <cell r="AD261" t="b">
            <v>0</v>
          </cell>
          <cell r="AE261" t="b">
            <v>0</v>
          </cell>
          <cell r="AF261" t="str">
            <v/>
          </cell>
        </row>
        <row r="262">
          <cell r="AA262" t="b">
            <v>0</v>
          </cell>
          <cell r="AB262" t="b">
            <v>0</v>
          </cell>
          <cell r="AC262" t="b">
            <v>0</v>
          </cell>
          <cell r="AD262" t="b">
            <v>0</v>
          </cell>
          <cell r="AE262" t="b">
            <v>0</v>
          </cell>
          <cell r="AF262" t="str">
            <v/>
          </cell>
        </row>
        <row r="263">
          <cell r="AA263" t="b">
            <v>0</v>
          </cell>
          <cell r="AB263" t="b">
            <v>0</v>
          </cell>
          <cell r="AC263" t="b">
            <v>0</v>
          </cell>
          <cell r="AD263" t="b">
            <v>0</v>
          </cell>
          <cell r="AE263" t="b">
            <v>0</v>
          </cell>
          <cell r="AF263" t="str">
            <v/>
          </cell>
        </row>
        <row r="264">
          <cell r="AA264" t="b">
            <v>0</v>
          </cell>
          <cell r="AB264" t="b">
            <v>0</v>
          </cell>
          <cell r="AC264" t="b">
            <v>0</v>
          </cell>
          <cell r="AD264" t="b">
            <v>0</v>
          </cell>
          <cell r="AE264" t="b">
            <v>0</v>
          </cell>
          <cell r="AF264" t="str">
            <v/>
          </cell>
        </row>
        <row r="265">
          <cell r="AA265" t="b">
            <v>0</v>
          </cell>
          <cell r="AB265" t="b">
            <v>0</v>
          </cell>
          <cell r="AC265" t="b">
            <v>0</v>
          </cell>
          <cell r="AD265" t="b">
            <v>0</v>
          </cell>
          <cell r="AE265" t="b">
            <v>0</v>
          </cell>
          <cell r="AF265" t="str">
            <v/>
          </cell>
        </row>
        <row r="266">
          <cell r="AA266" t="b">
            <v>0</v>
          </cell>
          <cell r="AB266" t="b">
            <v>0</v>
          </cell>
          <cell r="AC266" t="b">
            <v>0</v>
          </cell>
          <cell r="AD266" t="b">
            <v>0</v>
          </cell>
          <cell r="AE266" t="b">
            <v>0</v>
          </cell>
          <cell r="AF266" t="str">
            <v/>
          </cell>
        </row>
        <row r="267">
          <cell r="AA267" t="b">
            <v>0</v>
          </cell>
          <cell r="AB267" t="b">
            <v>0</v>
          </cell>
          <cell r="AC267" t="b">
            <v>0</v>
          </cell>
          <cell r="AD267" t="b">
            <v>0</v>
          </cell>
          <cell r="AE267" t="b">
            <v>0</v>
          </cell>
          <cell r="AF267" t="str">
            <v/>
          </cell>
        </row>
        <row r="268">
          <cell r="AA268" t="b">
            <v>0</v>
          </cell>
          <cell r="AB268" t="b">
            <v>0</v>
          </cell>
          <cell r="AC268" t="b">
            <v>0</v>
          </cell>
          <cell r="AD268" t="b">
            <v>0</v>
          </cell>
          <cell r="AE268" t="b">
            <v>0</v>
          </cell>
          <cell r="AF268" t="str">
            <v/>
          </cell>
        </row>
        <row r="269">
          <cell r="AA269" t="b">
            <v>0</v>
          </cell>
          <cell r="AB269" t="b">
            <v>0</v>
          </cell>
          <cell r="AC269" t="b">
            <v>0</v>
          </cell>
          <cell r="AD269" t="b">
            <v>0</v>
          </cell>
          <cell r="AE269" t="b">
            <v>0</v>
          </cell>
          <cell r="AF269" t="str">
            <v/>
          </cell>
        </row>
        <row r="270">
          <cell r="AA270" t="b">
            <v>0</v>
          </cell>
          <cell r="AB270" t="b">
            <v>0</v>
          </cell>
          <cell r="AC270" t="b">
            <v>0</v>
          </cell>
          <cell r="AD270" t="b">
            <v>0</v>
          </cell>
          <cell r="AE270" t="b">
            <v>0</v>
          </cell>
          <cell r="AF270" t="str">
            <v/>
          </cell>
        </row>
        <row r="271">
          <cell r="AA271" t="b">
            <v>0</v>
          </cell>
          <cell r="AB271" t="b">
            <v>0</v>
          </cell>
          <cell r="AC271" t="b">
            <v>0</v>
          </cell>
          <cell r="AD271" t="b">
            <v>0</v>
          </cell>
          <cell r="AE271" t="b">
            <v>0</v>
          </cell>
          <cell r="AF271" t="str">
            <v/>
          </cell>
        </row>
        <row r="272">
          <cell r="AA272" t="b">
            <v>0</v>
          </cell>
          <cell r="AB272" t="b">
            <v>0</v>
          </cell>
          <cell r="AC272" t="b">
            <v>0</v>
          </cell>
          <cell r="AD272" t="b">
            <v>0</v>
          </cell>
          <cell r="AE272" t="b">
            <v>0</v>
          </cell>
          <cell r="AF272" t="str">
            <v/>
          </cell>
        </row>
        <row r="273">
          <cell r="AA273" t="b">
            <v>0</v>
          </cell>
          <cell r="AB273" t="b">
            <v>0</v>
          </cell>
          <cell r="AC273" t="b">
            <v>0</v>
          </cell>
          <cell r="AD273" t="b">
            <v>0</v>
          </cell>
          <cell r="AE273" t="b">
            <v>0</v>
          </cell>
          <cell r="AF273" t="str">
            <v/>
          </cell>
        </row>
        <row r="274">
          <cell r="AA274" t="b">
            <v>0</v>
          </cell>
          <cell r="AB274" t="b">
            <v>0</v>
          </cell>
          <cell r="AC274" t="b">
            <v>0</v>
          </cell>
          <cell r="AD274" t="b">
            <v>0</v>
          </cell>
          <cell r="AE274" t="b">
            <v>0</v>
          </cell>
          <cell r="AF274" t="str">
            <v/>
          </cell>
        </row>
        <row r="275">
          <cell r="AA275" t="b">
            <v>0</v>
          </cell>
          <cell r="AB275" t="b">
            <v>0</v>
          </cell>
          <cell r="AC275" t="b">
            <v>0</v>
          </cell>
          <cell r="AD275" t="b">
            <v>0</v>
          </cell>
          <cell r="AE275" t="b">
            <v>0</v>
          </cell>
          <cell r="AF275" t="str">
            <v/>
          </cell>
        </row>
        <row r="276">
          <cell r="AA276" t="b">
            <v>0</v>
          </cell>
          <cell r="AB276" t="b">
            <v>0</v>
          </cell>
          <cell r="AC276" t="b">
            <v>0</v>
          </cell>
          <cell r="AD276" t="b">
            <v>0</v>
          </cell>
          <cell r="AE276" t="b">
            <v>0</v>
          </cell>
          <cell r="AF276" t="str">
            <v/>
          </cell>
        </row>
        <row r="277">
          <cell r="AA277" t="b">
            <v>0</v>
          </cell>
          <cell r="AB277" t="b">
            <v>0</v>
          </cell>
          <cell r="AC277" t="b">
            <v>0</v>
          </cell>
          <cell r="AD277" t="b">
            <v>0</v>
          </cell>
          <cell r="AE277" t="b">
            <v>0</v>
          </cell>
          <cell r="AF277" t="str">
            <v/>
          </cell>
        </row>
        <row r="278">
          <cell r="AA278" t="b">
            <v>0</v>
          </cell>
          <cell r="AB278" t="b">
            <v>0</v>
          </cell>
          <cell r="AC278" t="b">
            <v>0</v>
          </cell>
          <cell r="AD278" t="b">
            <v>0</v>
          </cell>
          <cell r="AE278" t="b">
            <v>0</v>
          </cell>
          <cell r="AF278" t="str">
            <v/>
          </cell>
        </row>
        <row r="279">
          <cell r="AA279" t="b">
            <v>0</v>
          </cell>
          <cell r="AB279" t="b">
            <v>0</v>
          </cell>
          <cell r="AC279" t="b">
            <v>0</v>
          </cell>
          <cell r="AD279" t="b">
            <v>0</v>
          </cell>
          <cell r="AE279" t="b">
            <v>0</v>
          </cell>
          <cell r="AF279" t="str">
            <v/>
          </cell>
        </row>
        <row r="280">
          <cell r="AA280" t="b">
            <v>0</v>
          </cell>
          <cell r="AB280" t="b">
            <v>0</v>
          </cell>
          <cell r="AC280" t="b">
            <v>0</v>
          </cell>
          <cell r="AD280" t="b">
            <v>0</v>
          </cell>
          <cell r="AE280" t="b">
            <v>0</v>
          </cell>
          <cell r="AF280" t="str">
            <v/>
          </cell>
        </row>
        <row r="281">
          <cell r="AA281" t="b">
            <v>0</v>
          </cell>
          <cell r="AB281" t="b">
            <v>0</v>
          </cell>
          <cell r="AC281" t="b">
            <v>0</v>
          </cell>
          <cell r="AD281" t="b">
            <v>0</v>
          </cell>
          <cell r="AE281" t="b">
            <v>0</v>
          </cell>
          <cell r="AF281" t="str">
            <v/>
          </cell>
        </row>
        <row r="282">
          <cell r="AA282" t="b">
            <v>0</v>
          </cell>
          <cell r="AB282" t="b">
            <v>0</v>
          </cell>
          <cell r="AC282" t="b">
            <v>0</v>
          </cell>
          <cell r="AD282" t="b">
            <v>0</v>
          </cell>
          <cell r="AE282" t="b">
            <v>0</v>
          </cell>
          <cell r="AF282" t="str">
            <v/>
          </cell>
        </row>
        <row r="283">
          <cell r="AA283" t="b">
            <v>0</v>
          </cell>
          <cell r="AB283" t="b">
            <v>0</v>
          </cell>
          <cell r="AC283" t="b">
            <v>0</v>
          </cell>
          <cell r="AD283" t="b">
            <v>0</v>
          </cell>
          <cell r="AE283" t="b">
            <v>0</v>
          </cell>
          <cell r="AF283" t="str">
            <v/>
          </cell>
        </row>
        <row r="284">
          <cell r="AA284" t="b">
            <v>0</v>
          </cell>
          <cell r="AB284" t="b">
            <v>0</v>
          </cell>
          <cell r="AC284" t="b">
            <v>0</v>
          </cell>
          <cell r="AD284" t="b">
            <v>0</v>
          </cell>
          <cell r="AE284" t="b">
            <v>0</v>
          </cell>
          <cell r="AF284" t="str">
            <v/>
          </cell>
        </row>
        <row r="285">
          <cell r="AA285" t="b">
            <v>0</v>
          </cell>
          <cell r="AB285" t="b">
            <v>0</v>
          </cell>
          <cell r="AC285" t="b">
            <v>0</v>
          </cell>
          <cell r="AD285" t="b">
            <v>0</v>
          </cell>
          <cell r="AE285" t="b">
            <v>0</v>
          </cell>
          <cell r="AF285" t="str">
            <v/>
          </cell>
        </row>
        <row r="286">
          <cell r="AA286" t="b">
            <v>0</v>
          </cell>
          <cell r="AB286" t="b">
            <v>0</v>
          </cell>
          <cell r="AC286" t="b">
            <v>0</v>
          </cell>
          <cell r="AD286" t="b">
            <v>0</v>
          </cell>
          <cell r="AE286" t="b">
            <v>0</v>
          </cell>
          <cell r="AF286" t="str">
            <v/>
          </cell>
        </row>
        <row r="287">
          <cell r="AA287" t="b">
            <v>0</v>
          </cell>
          <cell r="AB287" t="b">
            <v>0</v>
          </cell>
          <cell r="AC287" t="b">
            <v>0</v>
          </cell>
          <cell r="AD287" t="b">
            <v>0</v>
          </cell>
          <cell r="AE287" t="b">
            <v>0</v>
          </cell>
          <cell r="AF287" t="str">
            <v/>
          </cell>
        </row>
        <row r="288">
          <cell r="AA288" t="b">
            <v>0</v>
          </cell>
          <cell r="AB288" t="b">
            <v>0</v>
          </cell>
          <cell r="AC288" t="b">
            <v>0</v>
          </cell>
          <cell r="AD288" t="b">
            <v>0</v>
          </cell>
          <cell r="AE288" t="b">
            <v>0</v>
          </cell>
          <cell r="AF288" t="str">
            <v/>
          </cell>
        </row>
        <row r="289">
          <cell r="AA289" t="b">
            <v>0</v>
          </cell>
          <cell r="AB289" t="b">
            <v>0</v>
          </cell>
          <cell r="AC289" t="b">
            <v>0</v>
          </cell>
          <cell r="AD289" t="b">
            <v>0</v>
          </cell>
          <cell r="AE289" t="b">
            <v>0</v>
          </cell>
          <cell r="AF289" t="str">
            <v/>
          </cell>
        </row>
        <row r="290">
          <cell r="AA290" t="b">
            <v>0</v>
          </cell>
          <cell r="AB290" t="b">
            <v>0</v>
          </cell>
          <cell r="AC290" t="b">
            <v>0</v>
          </cell>
          <cell r="AD290" t="b">
            <v>0</v>
          </cell>
          <cell r="AE290" t="b">
            <v>0</v>
          </cell>
          <cell r="AF290" t="str">
            <v/>
          </cell>
        </row>
        <row r="291">
          <cell r="AA291" t="b">
            <v>0</v>
          </cell>
          <cell r="AB291" t="b">
            <v>0</v>
          </cell>
          <cell r="AC291" t="b">
            <v>0</v>
          </cell>
          <cell r="AD291" t="b">
            <v>0</v>
          </cell>
          <cell r="AE291" t="b">
            <v>0</v>
          </cell>
          <cell r="AF291" t="str">
            <v/>
          </cell>
        </row>
        <row r="292">
          <cell r="AA292" t="b">
            <v>0</v>
          </cell>
          <cell r="AB292" t="b">
            <v>0</v>
          </cell>
          <cell r="AC292" t="b">
            <v>0</v>
          </cell>
          <cell r="AD292" t="b">
            <v>0</v>
          </cell>
          <cell r="AE292" t="b">
            <v>0</v>
          </cell>
          <cell r="AF292" t="str">
            <v/>
          </cell>
        </row>
        <row r="293">
          <cell r="AA293" t="b">
            <v>0</v>
          </cell>
          <cell r="AB293" t="b">
            <v>0</v>
          </cell>
          <cell r="AC293" t="b">
            <v>0</v>
          </cell>
          <cell r="AD293" t="b">
            <v>0</v>
          </cell>
          <cell r="AE293" t="b">
            <v>0</v>
          </cell>
          <cell r="AF293" t="str">
            <v/>
          </cell>
        </row>
        <row r="294">
          <cell r="AA294" t="b">
            <v>0</v>
          </cell>
          <cell r="AB294" t="b">
            <v>0</v>
          </cell>
          <cell r="AC294" t="b">
            <v>0</v>
          </cell>
          <cell r="AD294" t="b">
            <v>0</v>
          </cell>
          <cell r="AE294" t="b">
            <v>0</v>
          </cell>
          <cell r="AF294" t="str">
            <v/>
          </cell>
        </row>
        <row r="295">
          <cell r="AA295" t="b">
            <v>0</v>
          </cell>
          <cell r="AB295" t="b">
            <v>0</v>
          </cell>
          <cell r="AC295" t="b">
            <v>0</v>
          </cell>
          <cell r="AD295" t="b">
            <v>0</v>
          </cell>
          <cell r="AE295" t="b">
            <v>0</v>
          </cell>
          <cell r="AF295" t="str">
            <v/>
          </cell>
        </row>
        <row r="296">
          <cell r="AA296" t="b">
            <v>0</v>
          </cell>
          <cell r="AB296" t="b">
            <v>0</v>
          </cell>
          <cell r="AC296" t="b">
            <v>0</v>
          </cell>
          <cell r="AD296" t="b">
            <v>0</v>
          </cell>
          <cell r="AE296" t="b">
            <v>0</v>
          </cell>
          <cell r="AF296" t="str">
            <v/>
          </cell>
        </row>
        <row r="297">
          <cell r="AA297" t="b">
            <v>0</v>
          </cell>
          <cell r="AB297" t="b">
            <v>0</v>
          </cell>
          <cell r="AC297" t="b">
            <v>0</v>
          </cell>
          <cell r="AD297" t="b">
            <v>0</v>
          </cell>
          <cell r="AE297" t="b">
            <v>0</v>
          </cell>
          <cell r="AF297" t="str">
            <v/>
          </cell>
        </row>
        <row r="298">
          <cell r="AA298" t="b">
            <v>0</v>
          </cell>
          <cell r="AB298" t="b">
            <v>0</v>
          </cell>
          <cell r="AC298" t="b">
            <v>0</v>
          </cell>
          <cell r="AD298" t="b">
            <v>0</v>
          </cell>
          <cell r="AE298" t="b">
            <v>0</v>
          </cell>
          <cell r="AF298" t="str">
            <v/>
          </cell>
        </row>
        <row r="299">
          <cell r="AA299" t="b">
            <v>0</v>
          </cell>
          <cell r="AB299" t="b">
            <v>0</v>
          </cell>
          <cell r="AC299" t="b">
            <v>0</v>
          </cell>
          <cell r="AD299" t="b">
            <v>0</v>
          </cell>
          <cell r="AE299" t="b">
            <v>0</v>
          </cell>
          <cell r="AF299" t="str">
            <v/>
          </cell>
        </row>
        <row r="300">
          <cell r="AA300" t="b">
            <v>0</v>
          </cell>
          <cell r="AB300" t="b">
            <v>0</v>
          </cell>
          <cell r="AC300" t="b">
            <v>0</v>
          </cell>
          <cell r="AD300" t="b">
            <v>0</v>
          </cell>
          <cell r="AE300" t="b">
            <v>0</v>
          </cell>
          <cell r="AF300" t="str">
            <v/>
          </cell>
        </row>
        <row r="301">
          <cell r="AA301" t="b">
            <v>0</v>
          </cell>
          <cell r="AB301" t="b">
            <v>0</v>
          </cell>
          <cell r="AC301" t="b">
            <v>0</v>
          </cell>
          <cell r="AD301" t="b">
            <v>0</v>
          </cell>
          <cell r="AE301" t="b">
            <v>0</v>
          </cell>
          <cell r="AF301" t="str">
            <v/>
          </cell>
        </row>
        <row r="302">
          <cell r="AA302" t="b">
            <v>0</v>
          </cell>
          <cell r="AB302" t="b">
            <v>0</v>
          </cell>
          <cell r="AC302" t="b">
            <v>0</v>
          </cell>
          <cell r="AD302" t="b">
            <v>0</v>
          </cell>
          <cell r="AE302" t="b">
            <v>0</v>
          </cell>
          <cell r="AF302" t="str">
            <v/>
          </cell>
        </row>
        <row r="303">
          <cell r="AA303" t="b">
            <v>0</v>
          </cell>
          <cell r="AB303" t="b">
            <v>0</v>
          </cell>
          <cell r="AC303" t="b">
            <v>0</v>
          </cell>
          <cell r="AD303" t="b">
            <v>0</v>
          </cell>
          <cell r="AE303" t="b">
            <v>0</v>
          </cell>
          <cell r="AF303" t="str">
            <v/>
          </cell>
        </row>
        <row r="304">
          <cell r="AA304" t="b">
            <v>0</v>
          </cell>
          <cell r="AB304" t="b">
            <v>0</v>
          </cell>
          <cell r="AC304" t="b">
            <v>0</v>
          </cell>
          <cell r="AD304" t="b">
            <v>0</v>
          </cell>
          <cell r="AE304" t="b">
            <v>0</v>
          </cell>
          <cell r="AF304" t="str">
            <v/>
          </cell>
        </row>
        <row r="305">
          <cell r="AA305" t="b">
            <v>0</v>
          </cell>
          <cell r="AB305" t="b">
            <v>0</v>
          </cell>
          <cell r="AC305" t="b">
            <v>0</v>
          </cell>
          <cell r="AD305" t="b">
            <v>0</v>
          </cell>
          <cell r="AE305" t="b">
            <v>0</v>
          </cell>
          <cell r="AF305" t="str">
            <v/>
          </cell>
        </row>
        <row r="306">
          <cell r="AA306" t="b">
            <v>0</v>
          </cell>
          <cell r="AB306" t="b">
            <v>0</v>
          </cell>
          <cell r="AC306" t="b">
            <v>0</v>
          </cell>
          <cell r="AD306" t="b">
            <v>0</v>
          </cell>
          <cell r="AE306" t="b">
            <v>0</v>
          </cell>
          <cell r="AF306" t="str">
            <v/>
          </cell>
        </row>
        <row r="307">
          <cell r="AA307" t="b">
            <v>0</v>
          </cell>
          <cell r="AB307" t="b">
            <v>0</v>
          </cell>
          <cell r="AC307" t="b">
            <v>0</v>
          </cell>
          <cell r="AD307" t="b">
            <v>0</v>
          </cell>
          <cell r="AE307" t="b">
            <v>0</v>
          </cell>
          <cell r="AF307" t="str">
            <v/>
          </cell>
        </row>
        <row r="308">
          <cell r="AA308" t="b">
            <v>0</v>
          </cell>
          <cell r="AB308" t="b">
            <v>0</v>
          </cell>
          <cell r="AC308" t="b">
            <v>0</v>
          </cell>
          <cell r="AD308" t="b">
            <v>0</v>
          </cell>
          <cell r="AE308" t="b">
            <v>0</v>
          </cell>
          <cell r="AF308" t="str">
            <v/>
          </cell>
        </row>
        <row r="309">
          <cell r="AA309" t="b">
            <v>0</v>
          </cell>
          <cell r="AB309" t="b">
            <v>0</v>
          </cell>
          <cell r="AC309" t="b">
            <v>0</v>
          </cell>
          <cell r="AD309" t="b">
            <v>0</v>
          </cell>
          <cell r="AE309" t="b">
            <v>0</v>
          </cell>
          <cell r="AF309" t="str">
            <v/>
          </cell>
        </row>
        <row r="310">
          <cell r="AA310" t="b">
            <v>0</v>
          </cell>
          <cell r="AB310" t="b">
            <v>0</v>
          </cell>
          <cell r="AC310" t="b">
            <v>0</v>
          </cell>
          <cell r="AD310" t="b">
            <v>0</v>
          </cell>
          <cell r="AE310" t="b">
            <v>0</v>
          </cell>
          <cell r="AF310" t="str">
            <v/>
          </cell>
        </row>
        <row r="311">
          <cell r="AA311" t="b">
            <v>0</v>
          </cell>
          <cell r="AB311" t="b">
            <v>0</v>
          </cell>
          <cell r="AC311" t="b">
            <v>0</v>
          </cell>
          <cell r="AD311" t="b">
            <v>0</v>
          </cell>
          <cell r="AE311" t="b">
            <v>0</v>
          </cell>
          <cell r="AF311" t="str">
            <v/>
          </cell>
        </row>
        <row r="312">
          <cell r="AA312" t="b">
            <v>0</v>
          </cell>
          <cell r="AB312" t="b">
            <v>0</v>
          </cell>
          <cell r="AC312" t="b">
            <v>0</v>
          </cell>
          <cell r="AD312" t="b">
            <v>0</v>
          </cell>
          <cell r="AE312" t="b">
            <v>0</v>
          </cell>
          <cell r="AF312" t="str">
            <v/>
          </cell>
        </row>
        <row r="313">
          <cell r="AA313" t="b">
            <v>0</v>
          </cell>
          <cell r="AB313" t="b">
            <v>0</v>
          </cell>
          <cell r="AC313" t="b">
            <v>0</v>
          </cell>
          <cell r="AD313" t="b">
            <v>0</v>
          </cell>
          <cell r="AE313" t="b">
            <v>0</v>
          </cell>
          <cell r="AF313" t="str">
            <v/>
          </cell>
        </row>
        <row r="314">
          <cell r="AA314" t="b">
            <v>0</v>
          </cell>
          <cell r="AB314" t="b">
            <v>0</v>
          </cell>
          <cell r="AC314" t="b">
            <v>0</v>
          </cell>
          <cell r="AD314" t="b">
            <v>0</v>
          </cell>
          <cell r="AE314" t="b">
            <v>0</v>
          </cell>
          <cell r="AF314" t="str">
            <v/>
          </cell>
        </row>
        <row r="315">
          <cell r="AA315" t="b">
            <v>0</v>
          </cell>
          <cell r="AB315" t="b">
            <v>0</v>
          </cell>
          <cell r="AC315" t="b">
            <v>0</v>
          </cell>
          <cell r="AD315" t="b">
            <v>0</v>
          </cell>
          <cell r="AE315" t="b">
            <v>0</v>
          </cell>
          <cell r="AF315" t="str">
            <v/>
          </cell>
        </row>
        <row r="316">
          <cell r="AA316" t="b">
            <v>0</v>
          </cell>
          <cell r="AB316" t="b">
            <v>0</v>
          </cell>
          <cell r="AC316" t="b">
            <v>0</v>
          </cell>
          <cell r="AD316" t="b">
            <v>0</v>
          </cell>
          <cell r="AE316" t="b">
            <v>0</v>
          </cell>
          <cell r="AF316" t="str">
            <v/>
          </cell>
        </row>
        <row r="317">
          <cell r="AA317" t="b">
            <v>0</v>
          </cell>
          <cell r="AB317" t="b">
            <v>0</v>
          </cell>
          <cell r="AC317" t="b">
            <v>0</v>
          </cell>
          <cell r="AD317" t="b">
            <v>0</v>
          </cell>
          <cell r="AE317" t="b">
            <v>0</v>
          </cell>
          <cell r="AF317" t="str">
            <v/>
          </cell>
        </row>
        <row r="318">
          <cell r="AA318" t="b">
            <v>0</v>
          </cell>
          <cell r="AB318" t="b">
            <v>0</v>
          </cell>
          <cell r="AC318" t="b">
            <v>0</v>
          </cell>
          <cell r="AD318" t="b">
            <v>0</v>
          </cell>
          <cell r="AE318" t="b">
            <v>0</v>
          </cell>
          <cell r="AF318" t="str">
            <v/>
          </cell>
        </row>
        <row r="319">
          <cell r="AA319" t="b">
            <v>0</v>
          </cell>
          <cell r="AB319" t="b">
            <v>0</v>
          </cell>
          <cell r="AC319" t="b">
            <v>0</v>
          </cell>
          <cell r="AD319" t="b">
            <v>0</v>
          </cell>
          <cell r="AE319" t="b">
            <v>0</v>
          </cell>
          <cell r="AF319" t="str">
            <v/>
          </cell>
        </row>
        <row r="320">
          <cell r="AA320" t="b">
            <v>0</v>
          </cell>
          <cell r="AB320" t="b">
            <v>0</v>
          </cell>
          <cell r="AC320" t="b">
            <v>0</v>
          </cell>
          <cell r="AD320" t="b">
            <v>0</v>
          </cell>
          <cell r="AE320" t="b">
            <v>0</v>
          </cell>
          <cell r="AF320" t="str">
            <v/>
          </cell>
        </row>
        <row r="321">
          <cell r="AA321" t="b">
            <v>0</v>
          </cell>
          <cell r="AB321" t="b">
            <v>0</v>
          </cell>
          <cell r="AC321" t="b">
            <v>0</v>
          </cell>
          <cell r="AD321" t="b">
            <v>0</v>
          </cell>
          <cell r="AE321" t="b">
            <v>0</v>
          </cell>
          <cell r="AF321" t="str">
            <v/>
          </cell>
        </row>
        <row r="322">
          <cell r="AA322" t="b">
            <v>0</v>
          </cell>
          <cell r="AB322" t="b">
            <v>0</v>
          </cell>
          <cell r="AC322" t="b">
            <v>0</v>
          </cell>
          <cell r="AD322" t="b">
            <v>0</v>
          </cell>
          <cell r="AE322" t="b">
            <v>0</v>
          </cell>
          <cell r="AF322" t="str">
            <v/>
          </cell>
        </row>
        <row r="323">
          <cell r="AA323" t="b">
            <v>0</v>
          </cell>
          <cell r="AB323" t="b">
            <v>0</v>
          </cell>
          <cell r="AC323" t="b">
            <v>0</v>
          </cell>
          <cell r="AD323" t="b">
            <v>0</v>
          </cell>
          <cell r="AE323" t="b">
            <v>0</v>
          </cell>
          <cell r="AF323" t="str">
            <v/>
          </cell>
        </row>
        <row r="324">
          <cell r="AA324" t="b">
            <v>0</v>
          </cell>
          <cell r="AB324" t="b">
            <v>0</v>
          </cell>
          <cell r="AC324" t="b">
            <v>0</v>
          </cell>
          <cell r="AD324" t="b">
            <v>0</v>
          </cell>
          <cell r="AE324" t="b">
            <v>0</v>
          </cell>
          <cell r="AF324" t="str">
            <v/>
          </cell>
        </row>
        <row r="325">
          <cell r="AA325" t="b">
            <v>0</v>
          </cell>
          <cell r="AB325" t="b">
            <v>0</v>
          </cell>
          <cell r="AC325" t="b">
            <v>0</v>
          </cell>
          <cell r="AD325" t="b">
            <v>0</v>
          </cell>
          <cell r="AE325" t="b">
            <v>0</v>
          </cell>
          <cell r="AF325" t="str">
            <v/>
          </cell>
        </row>
        <row r="326">
          <cell r="AA326" t="b">
            <v>0</v>
          </cell>
          <cell r="AB326" t="b">
            <v>0</v>
          </cell>
          <cell r="AC326" t="b">
            <v>0</v>
          </cell>
          <cell r="AD326" t="b">
            <v>0</v>
          </cell>
          <cell r="AE326" t="b">
            <v>0</v>
          </cell>
          <cell r="AF326" t="str">
            <v/>
          </cell>
        </row>
        <row r="327">
          <cell r="AA327" t="b">
            <v>0</v>
          </cell>
          <cell r="AB327" t="b">
            <v>0</v>
          </cell>
          <cell r="AC327" t="b">
            <v>0</v>
          </cell>
          <cell r="AD327" t="b">
            <v>0</v>
          </cell>
          <cell r="AE327" t="b">
            <v>0</v>
          </cell>
          <cell r="AF327" t="str">
            <v/>
          </cell>
        </row>
        <row r="328">
          <cell r="AA328" t="b">
            <v>0</v>
          </cell>
          <cell r="AB328" t="b">
            <v>0</v>
          </cell>
          <cell r="AC328" t="b">
            <v>0</v>
          </cell>
          <cell r="AD328" t="b">
            <v>0</v>
          </cell>
          <cell r="AE328" t="b">
            <v>0</v>
          </cell>
          <cell r="AF328" t="str">
            <v/>
          </cell>
        </row>
        <row r="329">
          <cell r="AA329" t="b">
            <v>0</v>
          </cell>
          <cell r="AB329" t="b">
            <v>0</v>
          </cell>
          <cell r="AC329" t="b">
            <v>0</v>
          </cell>
          <cell r="AD329" t="b">
            <v>0</v>
          </cell>
          <cell r="AE329" t="b">
            <v>0</v>
          </cell>
          <cell r="AF329" t="str">
            <v/>
          </cell>
        </row>
        <row r="330">
          <cell r="AA330" t="b">
            <v>0</v>
          </cell>
          <cell r="AB330" t="b">
            <v>0</v>
          </cell>
          <cell r="AC330" t="b">
            <v>0</v>
          </cell>
          <cell r="AD330" t="b">
            <v>0</v>
          </cell>
          <cell r="AE330" t="b">
            <v>0</v>
          </cell>
          <cell r="AF330" t="str">
            <v/>
          </cell>
        </row>
        <row r="331">
          <cell r="AA331" t="b">
            <v>0</v>
          </cell>
          <cell r="AB331" t="b">
            <v>0</v>
          </cell>
          <cell r="AC331" t="b">
            <v>0</v>
          </cell>
          <cell r="AD331" t="b">
            <v>0</v>
          </cell>
          <cell r="AE331" t="b">
            <v>0</v>
          </cell>
          <cell r="AF331" t="str">
            <v/>
          </cell>
        </row>
        <row r="332">
          <cell r="AA332" t="b">
            <v>0</v>
          </cell>
          <cell r="AB332" t="b">
            <v>0</v>
          </cell>
          <cell r="AC332" t="b">
            <v>0</v>
          </cell>
          <cell r="AD332" t="b">
            <v>0</v>
          </cell>
          <cell r="AE332" t="b">
            <v>0</v>
          </cell>
          <cell r="AF332" t="str">
            <v/>
          </cell>
        </row>
        <row r="333">
          <cell r="AA333" t="b">
            <v>0</v>
          </cell>
          <cell r="AB333" t="b">
            <v>0</v>
          </cell>
          <cell r="AC333" t="b">
            <v>0</v>
          </cell>
          <cell r="AD333" t="b">
            <v>0</v>
          </cell>
          <cell r="AE333" t="b">
            <v>0</v>
          </cell>
          <cell r="AF333" t="str">
            <v/>
          </cell>
        </row>
        <row r="334">
          <cell r="AA334" t="b">
            <v>0</v>
          </cell>
          <cell r="AB334" t="b">
            <v>0</v>
          </cell>
          <cell r="AC334" t="b">
            <v>0</v>
          </cell>
          <cell r="AD334" t="b">
            <v>0</v>
          </cell>
          <cell r="AE334" t="b">
            <v>0</v>
          </cell>
          <cell r="AF334" t="str">
            <v/>
          </cell>
        </row>
        <row r="335">
          <cell r="AA335" t="b">
            <v>0</v>
          </cell>
          <cell r="AB335" t="b">
            <v>0</v>
          </cell>
          <cell r="AC335" t="b">
            <v>0</v>
          </cell>
          <cell r="AD335" t="b">
            <v>0</v>
          </cell>
          <cell r="AE335" t="b">
            <v>0</v>
          </cell>
          <cell r="AF335" t="str">
            <v/>
          </cell>
        </row>
        <row r="336">
          <cell r="AA336" t="b">
            <v>0</v>
          </cell>
          <cell r="AB336" t="b">
            <v>0</v>
          </cell>
          <cell r="AC336" t="b">
            <v>0</v>
          </cell>
          <cell r="AD336" t="b">
            <v>0</v>
          </cell>
          <cell r="AE336" t="b">
            <v>0</v>
          </cell>
          <cell r="AF336" t="str">
            <v/>
          </cell>
        </row>
        <row r="337">
          <cell r="AA337" t="b">
            <v>0</v>
          </cell>
          <cell r="AB337" t="b">
            <v>0</v>
          </cell>
          <cell r="AC337" t="b">
            <v>0</v>
          </cell>
          <cell r="AD337" t="b">
            <v>0</v>
          </cell>
          <cell r="AE337" t="b">
            <v>0</v>
          </cell>
          <cell r="AF337" t="str">
            <v/>
          </cell>
        </row>
        <row r="338">
          <cell r="AA338" t="b">
            <v>0</v>
          </cell>
          <cell r="AB338" t="b">
            <v>0</v>
          </cell>
          <cell r="AC338" t="b">
            <v>0</v>
          </cell>
          <cell r="AD338" t="b">
            <v>0</v>
          </cell>
          <cell r="AE338" t="b">
            <v>0</v>
          </cell>
          <cell r="AF338" t="str">
            <v/>
          </cell>
        </row>
        <row r="339">
          <cell r="AA339" t="b">
            <v>0</v>
          </cell>
          <cell r="AB339" t="b">
            <v>0</v>
          </cell>
          <cell r="AC339" t="b">
            <v>0</v>
          </cell>
          <cell r="AD339" t="b">
            <v>0</v>
          </cell>
          <cell r="AE339" t="b">
            <v>0</v>
          </cell>
          <cell r="AF339" t="str">
            <v/>
          </cell>
        </row>
        <row r="340">
          <cell r="AA340" t="b">
            <v>0</v>
          </cell>
          <cell r="AB340" t="b">
            <v>0</v>
          </cell>
          <cell r="AC340" t="b">
            <v>0</v>
          </cell>
          <cell r="AD340" t="b">
            <v>0</v>
          </cell>
          <cell r="AE340" t="b">
            <v>0</v>
          </cell>
          <cell r="AF340" t="str">
            <v/>
          </cell>
        </row>
        <row r="341">
          <cell r="AA341" t="b">
            <v>0</v>
          </cell>
          <cell r="AB341" t="b">
            <v>0</v>
          </cell>
          <cell r="AC341" t="b">
            <v>0</v>
          </cell>
          <cell r="AD341" t="b">
            <v>0</v>
          </cell>
          <cell r="AE341" t="b">
            <v>0</v>
          </cell>
          <cell r="AF341" t="str">
            <v/>
          </cell>
        </row>
        <row r="342">
          <cell r="AA342" t="b">
            <v>0</v>
          </cell>
          <cell r="AB342" t="b">
            <v>0</v>
          </cell>
          <cell r="AC342" t="b">
            <v>0</v>
          </cell>
          <cell r="AD342" t="b">
            <v>0</v>
          </cell>
          <cell r="AE342" t="b">
            <v>0</v>
          </cell>
          <cell r="AF342" t="str">
            <v/>
          </cell>
        </row>
        <row r="343">
          <cell r="AA343" t="b">
            <v>0</v>
          </cell>
          <cell r="AB343" t="b">
            <v>0</v>
          </cell>
          <cell r="AC343" t="b">
            <v>0</v>
          </cell>
          <cell r="AD343" t="b">
            <v>0</v>
          </cell>
          <cell r="AE343" t="b">
            <v>0</v>
          </cell>
          <cell r="AF343" t="str">
            <v/>
          </cell>
        </row>
        <row r="344">
          <cell r="AA344" t="b">
            <v>0</v>
          </cell>
          <cell r="AB344" t="b">
            <v>0</v>
          </cell>
          <cell r="AC344" t="b">
            <v>0</v>
          </cell>
          <cell r="AD344" t="b">
            <v>0</v>
          </cell>
          <cell r="AE344" t="b">
            <v>0</v>
          </cell>
          <cell r="AF344" t="str">
            <v/>
          </cell>
        </row>
        <row r="345">
          <cell r="AA345" t="b">
            <v>0</v>
          </cell>
          <cell r="AB345" t="b">
            <v>0</v>
          </cell>
          <cell r="AC345" t="b">
            <v>0</v>
          </cell>
          <cell r="AD345" t="b">
            <v>0</v>
          </cell>
          <cell r="AE345" t="b">
            <v>0</v>
          </cell>
          <cell r="AF345" t="str">
            <v/>
          </cell>
        </row>
        <row r="346">
          <cell r="AA346" t="b">
            <v>0</v>
          </cell>
          <cell r="AB346" t="b">
            <v>0</v>
          </cell>
          <cell r="AC346" t="b">
            <v>0</v>
          </cell>
          <cell r="AD346" t="b">
            <v>0</v>
          </cell>
          <cell r="AE346" t="b">
            <v>0</v>
          </cell>
          <cell r="AF346" t="str">
            <v/>
          </cell>
        </row>
        <row r="347">
          <cell r="AA347" t="b">
            <v>0</v>
          </cell>
          <cell r="AB347" t="b">
            <v>0</v>
          </cell>
          <cell r="AC347" t="b">
            <v>0</v>
          </cell>
          <cell r="AD347" t="b">
            <v>0</v>
          </cell>
          <cell r="AE347" t="b">
            <v>0</v>
          </cell>
          <cell r="AF347" t="str">
            <v/>
          </cell>
        </row>
        <row r="348">
          <cell r="AA348" t="b">
            <v>0</v>
          </cell>
          <cell r="AB348" t="b">
            <v>0</v>
          </cell>
          <cell r="AC348" t="b">
            <v>0</v>
          </cell>
          <cell r="AD348" t="b">
            <v>0</v>
          </cell>
          <cell r="AE348" t="b">
            <v>0</v>
          </cell>
          <cell r="AF348" t="str">
            <v/>
          </cell>
        </row>
        <row r="349">
          <cell r="AA349" t="b">
            <v>0</v>
          </cell>
          <cell r="AB349" t="b">
            <v>0</v>
          </cell>
          <cell r="AC349" t="b">
            <v>0</v>
          </cell>
          <cell r="AD349" t="b">
            <v>0</v>
          </cell>
          <cell r="AE349" t="b">
            <v>0</v>
          </cell>
          <cell r="AF349" t="str">
            <v/>
          </cell>
        </row>
        <row r="350">
          <cell r="AA350" t="b">
            <v>0</v>
          </cell>
          <cell r="AB350" t="b">
            <v>0</v>
          </cell>
          <cell r="AC350" t="b">
            <v>0</v>
          </cell>
          <cell r="AD350" t="b">
            <v>0</v>
          </cell>
          <cell r="AE350" t="b">
            <v>0</v>
          </cell>
          <cell r="AF350" t="str">
            <v/>
          </cell>
        </row>
        <row r="351">
          <cell r="AA351" t="b">
            <v>0</v>
          </cell>
          <cell r="AB351" t="b">
            <v>0</v>
          </cell>
          <cell r="AC351" t="b">
            <v>0</v>
          </cell>
          <cell r="AD351" t="b">
            <v>0</v>
          </cell>
          <cell r="AE351" t="b">
            <v>0</v>
          </cell>
          <cell r="AF351" t="str">
            <v/>
          </cell>
        </row>
        <row r="352">
          <cell r="AA352" t="b">
            <v>0</v>
          </cell>
          <cell r="AB352" t="b">
            <v>0</v>
          </cell>
          <cell r="AC352" t="b">
            <v>0</v>
          </cell>
          <cell r="AD352" t="b">
            <v>0</v>
          </cell>
          <cell r="AE352" t="b">
            <v>0</v>
          </cell>
          <cell r="AF352" t="str">
            <v/>
          </cell>
        </row>
        <row r="353">
          <cell r="AA353" t="b">
            <v>0</v>
          </cell>
          <cell r="AB353" t="b">
            <v>0</v>
          </cell>
          <cell r="AC353" t="b">
            <v>0</v>
          </cell>
          <cell r="AD353" t="b">
            <v>0</v>
          </cell>
          <cell r="AE353" t="b">
            <v>0</v>
          </cell>
          <cell r="AF353" t="str">
            <v/>
          </cell>
        </row>
        <row r="354">
          <cell r="AA354" t="b">
            <v>0</v>
          </cell>
          <cell r="AB354" t="b">
            <v>0</v>
          </cell>
          <cell r="AC354" t="b">
            <v>0</v>
          </cell>
          <cell r="AD354" t="b">
            <v>0</v>
          </cell>
          <cell r="AE354" t="b">
            <v>0</v>
          </cell>
          <cell r="AF354" t="str">
            <v/>
          </cell>
        </row>
        <row r="355">
          <cell r="AA355" t="b">
            <v>0</v>
          </cell>
          <cell r="AB355" t="b">
            <v>0</v>
          </cell>
          <cell r="AC355" t="b">
            <v>0</v>
          </cell>
          <cell r="AD355" t="b">
            <v>0</v>
          </cell>
          <cell r="AE355" t="b">
            <v>0</v>
          </cell>
          <cell r="AF355" t="str">
            <v/>
          </cell>
        </row>
        <row r="356">
          <cell r="AA356" t="b">
            <v>0</v>
          </cell>
          <cell r="AB356" t="b">
            <v>0</v>
          </cell>
          <cell r="AC356" t="b">
            <v>0</v>
          </cell>
          <cell r="AD356" t="b">
            <v>0</v>
          </cell>
          <cell r="AE356" t="b">
            <v>0</v>
          </cell>
          <cell r="AF356" t="str">
            <v/>
          </cell>
        </row>
        <row r="357">
          <cell r="AA357" t="b">
            <v>0</v>
          </cell>
          <cell r="AB357" t="b">
            <v>0</v>
          </cell>
          <cell r="AC357" t="b">
            <v>0</v>
          </cell>
          <cell r="AD357" t="b">
            <v>0</v>
          </cell>
          <cell r="AE357" t="b">
            <v>0</v>
          </cell>
          <cell r="AF357" t="str">
            <v/>
          </cell>
        </row>
        <row r="358">
          <cell r="AA358" t="b">
            <v>0</v>
          </cell>
          <cell r="AB358" t="b">
            <v>0</v>
          </cell>
          <cell r="AC358" t="b">
            <v>0</v>
          </cell>
          <cell r="AD358" t="b">
            <v>0</v>
          </cell>
          <cell r="AE358" t="b">
            <v>0</v>
          </cell>
          <cell r="AF358" t="str">
            <v/>
          </cell>
        </row>
        <row r="359">
          <cell r="AA359" t="b">
            <v>0</v>
          </cell>
          <cell r="AB359" t="b">
            <v>0</v>
          </cell>
          <cell r="AC359" t="b">
            <v>0</v>
          </cell>
          <cell r="AD359" t="b">
            <v>0</v>
          </cell>
          <cell r="AE359" t="b">
            <v>0</v>
          </cell>
          <cell r="AF359" t="str">
            <v/>
          </cell>
        </row>
        <row r="360">
          <cell r="AA360" t="b">
            <v>0</v>
          </cell>
          <cell r="AB360" t="b">
            <v>0</v>
          </cell>
          <cell r="AC360" t="b">
            <v>0</v>
          </cell>
          <cell r="AD360" t="b">
            <v>0</v>
          </cell>
          <cell r="AE360" t="b">
            <v>0</v>
          </cell>
          <cell r="AF360" t="str">
            <v/>
          </cell>
        </row>
        <row r="361">
          <cell r="AA361" t="b">
            <v>0</v>
          </cell>
          <cell r="AB361" t="b">
            <v>0</v>
          </cell>
          <cell r="AC361" t="b">
            <v>0</v>
          </cell>
          <cell r="AD361" t="b">
            <v>0</v>
          </cell>
          <cell r="AE361" t="b">
            <v>0</v>
          </cell>
          <cell r="AF361" t="str">
            <v/>
          </cell>
        </row>
        <row r="362">
          <cell r="AA362" t="b">
            <v>0</v>
          </cell>
          <cell r="AB362" t="b">
            <v>0</v>
          </cell>
          <cell r="AC362" t="b">
            <v>0</v>
          </cell>
          <cell r="AD362" t="b">
            <v>0</v>
          </cell>
          <cell r="AE362" t="b">
            <v>0</v>
          </cell>
          <cell r="AF362" t="str">
            <v/>
          </cell>
        </row>
        <row r="363">
          <cell r="AA363" t="b">
            <v>0</v>
          </cell>
          <cell r="AB363" t="b">
            <v>0</v>
          </cell>
          <cell r="AC363" t="b">
            <v>0</v>
          </cell>
          <cell r="AD363" t="b">
            <v>0</v>
          </cell>
          <cell r="AE363" t="b">
            <v>0</v>
          </cell>
          <cell r="AF363" t="str">
            <v/>
          </cell>
        </row>
        <row r="364">
          <cell r="AA364" t="b">
            <v>0</v>
          </cell>
          <cell r="AB364" t="b">
            <v>0</v>
          </cell>
          <cell r="AC364" t="b">
            <v>0</v>
          </cell>
          <cell r="AD364" t="b">
            <v>0</v>
          </cell>
          <cell r="AE364" t="b">
            <v>0</v>
          </cell>
          <cell r="AF364" t="str">
            <v/>
          </cell>
        </row>
        <row r="365">
          <cell r="AA365" t="b">
            <v>0</v>
          </cell>
          <cell r="AB365" t="b">
            <v>0</v>
          </cell>
          <cell r="AC365" t="b">
            <v>0</v>
          </cell>
          <cell r="AD365" t="b">
            <v>0</v>
          </cell>
          <cell r="AE365" t="b">
            <v>0</v>
          </cell>
          <cell r="AF365" t="str">
            <v/>
          </cell>
        </row>
        <row r="366">
          <cell r="AA366" t="b">
            <v>0</v>
          </cell>
          <cell r="AB366" t="b">
            <v>0</v>
          </cell>
          <cell r="AC366" t="b">
            <v>0</v>
          </cell>
          <cell r="AD366" t="b">
            <v>0</v>
          </cell>
          <cell r="AE366" t="b">
            <v>0</v>
          </cell>
          <cell r="AF366" t="str">
            <v/>
          </cell>
        </row>
        <row r="367">
          <cell r="AA367" t="b">
            <v>0</v>
          </cell>
          <cell r="AB367" t="b">
            <v>0</v>
          </cell>
          <cell r="AC367" t="b">
            <v>0</v>
          </cell>
          <cell r="AD367" t="b">
            <v>0</v>
          </cell>
          <cell r="AE367" t="b">
            <v>0</v>
          </cell>
          <cell r="AF367" t="str">
            <v/>
          </cell>
        </row>
        <row r="368">
          <cell r="AA368" t="b">
            <v>0</v>
          </cell>
          <cell r="AB368" t="b">
            <v>0</v>
          </cell>
          <cell r="AC368" t="b">
            <v>0</v>
          </cell>
          <cell r="AD368" t="b">
            <v>0</v>
          </cell>
          <cell r="AE368" t="b">
            <v>0</v>
          </cell>
          <cell r="AF368" t="str">
            <v/>
          </cell>
        </row>
        <row r="369">
          <cell r="AA369" t="b">
            <v>0</v>
          </cell>
          <cell r="AB369" t="b">
            <v>0</v>
          </cell>
          <cell r="AC369" t="b">
            <v>0</v>
          </cell>
          <cell r="AD369" t="b">
            <v>0</v>
          </cell>
          <cell r="AE369" t="b">
            <v>0</v>
          </cell>
          <cell r="AF369" t="str">
            <v/>
          </cell>
        </row>
        <row r="370">
          <cell r="AA370" t="b">
            <v>0</v>
          </cell>
          <cell r="AB370" t="b">
            <v>0</v>
          </cell>
          <cell r="AC370" t="b">
            <v>0</v>
          </cell>
          <cell r="AD370" t="b">
            <v>0</v>
          </cell>
          <cell r="AE370" t="b">
            <v>0</v>
          </cell>
          <cell r="AF370" t="str">
            <v/>
          </cell>
        </row>
        <row r="371">
          <cell r="AA371" t="b">
            <v>0</v>
          </cell>
          <cell r="AB371" t="b">
            <v>0</v>
          </cell>
          <cell r="AC371" t="b">
            <v>0</v>
          </cell>
          <cell r="AD371" t="b">
            <v>0</v>
          </cell>
          <cell r="AE371" t="b">
            <v>0</v>
          </cell>
          <cell r="AF371" t="str">
            <v/>
          </cell>
        </row>
        <row r="372">
          <cell r="AA372" t="b">
            <v>0</v>
          </cell>
          <cell r="AB372" t="b">
            <v>0</v>
          </cell>
          <cell r="AC372" t="b">
            <v>0</v>
          </cell>
          <cell r="AD372" t="b">
            <v>0</v>
          </cell>
          <cell r="AE372" t="b">
            <v>0</v>
          </cell>
          <cell r="AF372" t="str">
            <v/>
          </cell>
        </row>
        <row r="373">
          <cell r="AA373" t="b">
            <v>0</v>
          </cell>
          <cell r="AB373" t="b">
            <v>0</v>
          </cell>
          <cell r="AC373" t="b">
            <v>0</v>
          </cell>
          <cell r="AD373" t="b">
            <v>0</v>
          </cell>
          <cell r="AE373" t="b">
            <v>0</v>
          </cell>
          <cell r="AF373" t="str">
            <v/>
          </cell>
        </row>
        <row r="374">
          <cell r="AA374" t="b">
            <v>0</v>
          </cell>
          <cell r="AB374" t="b">
            <v>0</v>
          </cell>
          <cell r="AC374" t="b">
            <v>0</v>
          </cell>
          <cell r="AD374" t="b">
            <v>0</v>
          </cell>
          <cell r="AE374" t="b">
            <v>0</v>
          </cell>
          <cell r="AF374" t="str">
            <v/>
          </cell>
        </row>
        <row r="375">
          <cell r="AA375" t="b">
            <v>0</v>
          </cell>
          <cell r="AB375" t="b">
            <v>0</v>
          </cell>
          <cell r="AC375" t="b">
            <v>0</v>
          </cell>
          <cell r="AD375" t="b">
            <v>0</v>
          </cell>
          <cell r="AE375" t="b">
            <v>0</v>
          </cell>
          <cell r="AF375" t="str">
            <v/>
          </cell>
        </row>
        <row r="376">
          <cell r="AA376" t="b">
            <v>0</v>
          </cell>
          <cell r="AB376" t="b">
            <v>0</v>
          </cell>
          <cell r="AC376" t="b">
            <v>0</v>
          </cell>
          <cell r="AD376" t="b">
            <v>0</v>
          </cell>
          <cell r="AE376" t="b">
            <v>0</v>
          </cell>
          <cell r="AF376" t="str">
            <v/>
          </cell>
        </row>
        <row r="377">
          <cell r="AA377" t="b">
            <v>0</v>
          </cell>
          <cell r="AB377" t="b">
            <v>0</v>
          </cell>
          <cell r="AC377" t="b">
            <v>0</v>
          </cell>
          <cell r="AD377" t="b">
            <v>0</v>
          </cell>
          <cell r="AE377" t="b">
            <v>0</v>
          </cell>
          <cell r="AF377" t="str">
            <v/>
          </cell>
        </row>
        <row r="378">
          <cell r="AA378" t="b">
            <v>0</v>
          </cell>
          <cell r="AB378" t="b">
            <v>0</v>
          </cell>
          <cell r="AC378" t="b">
            <v>0</v>
          </cell>
          <cell r="AD378" t="b">
            <v>0</v>
          </cell>
          <cell r="AE378" t="b">
            <v>0</v>
          </cell>
          <cell r="AF378" t="str">
            <v/>
          </cell>
        </row>
        <row r="379">
          <cell r="AA379" t="b">
            <v>0</v>
          </cell>
          <cell r="AB379" t="b">
            <v>0</v>
          </cell>
          <cell r="AC379" t="b">
            <v>0</v>
          </cell>
          <cell r="AD379" t="b">
            <v>0</v>
          </cell>
          <cell r="AE379" t="b">
            <v>0</v>
          </cell>
          <cell r="AF379" t="str">
            <v/>
          </cell>
        </row>
        <row r="380">
          <cell r="AA380" t="b">
            <v>0</v>
          </cell>
          <cell r="AB380" t="b">
            <v>0</v>
          </cell>
          <cell r="AC380" t="b">
            <v>0</v>
          </cell>
          <cell r="AD380" t="b">
            <v>0</v>
          </cell>
          <cell r="AE380" t="b">
            <v>0</v>
          </cell>
          <cell r="AF380" t="str">
            <v/>
          </cell>
        </row>
        <row r="381">
          <cell r="AA381" t="b">
            <v>0</v>
          </cell>
          <cell r="AB381" t="b">
            <v>0</v>
          </cell>
          <cell r="AC381" t="b">
            <v>0</v>
          </cell>
          <cell r="AD381" t="b">
            <v>0</v>
          </cell>
          <cell r="AE381" t="b">
            <v>0</v>
          </cell>
          <cell r="AF381" t="str">
            <v/>
          </cell>
        </row>
        <row r="382">
          <cell r="AA382" t="b">
            <v>0</v>
          </cell>
          <cell r="AB382" t="b">
            <v>0</v>
          </cell>
          <cell r="AC382" t="b">
            <v>0</v>
          </cell>
          <cell r="AD382" t="b">
            <v>0</v>
          </cell>
          <cell r="AE382" t="b">
            <v>0</v>
          </cell>
          <cell r="AF382" t="str">
            <v/>
          </cell>
        </row>
        <row r="383">
          <cell r="AA383" t="b">
            <v>0</v>
          </cell>
          <cell r="AB383" t="b">
            <v>0</v>
          </cell>
          <cell r="AC383" t="b">
            <v>0</v>
          </cell>
          <cell r="AD383" t="b">
            <v>0</v>
          </cell>
          <cell r="AE383" t="b">
            <v>0</v>
          </cell>
          <cell r="AF383" t="str">
            <v/>
          </cell>
        </row>
        <row r="384">
          <cell r="AA384" t="b">
            <v>0</v>
          </cell>
          <cell r="AB384" t="b">
            <v>0</v>
          </cell>
          <cell r="AC384" t="b">
            <v>0</v>
          </cell>
          <cell r="AD384" t="b">
            <v>0</v>
          </cell>
          <cell r="AE384" t="b">
            <v>0</v>
          </cell>
          <cell r="AF384" t="str">
            <v/>
          </cell>
        </row>
        <row r="385">
          <cell r="AA385" t="b">
            <v>0</v>
          </cell>
          <cell r="AB385" t="b">
            <v>0</v>
          </cell>
          <cell r="AC385" t="b">
            <v>0</v>
          </cell>
          <cell r="AD385" t="b">
            <v>0</v>
          </cell>
          <cell r="AE385" t="b">
            <v>0</v>
          </cell>
          <cell r="AF385" t="str">
            <v/>
          </cell>
        </row>
        <row r="386">
          <cell r="AA386" t="b">
            <v>0</v>
          </cell>
          <cell r="AB386" t="b">
            <v>0</v>
          </cell>
          <cell r="AC386" t="b">
            <v>0</v>
          </cell>
          <cell r="AD386" t="b">
            <v>0</v>
          </cell>
          <cell r="AE386" t="b">
            <v>0</v>
          </cell>
          <cell r="AF386" t="str">
            <v/>
          </cell>
        </row>
        <row r="387">
          <cell r="AA387" t="b">
            <v>0</v>
          </cell>
          <cell r="AB387" t="b">
            <v>0</v>
          </cell>
          <cell r="AC387" t="b">
            <v>0</v>
          </cell>
          <cell r="AD387" t="b">
            <v>0</v>
          </cell>
          <cell r="AE387" t="b">
            <v>0</v>
          </cell>
          <cell r="AF387" t="str">
            <v/>
          </cell>
        </row>
        <row r="388">
          <cell r="AA388" t="b">
            <v>0</v>
          </cell>
          <cell r="AB388" t="b">
            <v>0</v>
          </cell>
          <cell r="AC388" t="b">
            <v>0</v>
          </cell>
          <cell r="AD388" t="b">
            <v>0</v>
          </cell>
          <cell r="AE388" t="b">
            <v>0</v>
          </cell>
          <cell r="AF388" t="str">
            <v/>
          </cell>
        </row>
        <row r="389">
          <cell r="AA389" t="b">
            <v>0</v>
          </cell>
          <cell r="AB389" t="b">
            <v>0</v>
          </cell>
          <cell r="AC389" t="b">
            <v>0</v>
          </cell>
          <cell r="AD389" t="b">
            <v>0</v>
          </cell>
          <cell r="AE389" t="b">
            <v>0</v>
          </cell>
          <cell r="AF389" t="str">
            <v/>
          </cell>
        </row>
        <row r="390">
          <cell r="AA390" t="b">
            <v>0</v>
          </cell>
          <cell r="AB390" t="b">
            <v>0</v>
          </cell>
          <cell r="AC390" t="b">
            <v>0</v>
          </cell>
          <cell r="AD390" t="b">
            <v>0</v>
          </cell>
          <cell r="AE390" t="b">
            <v>0</v>
          </cell>
          <cell r="AF390" t="str">
            <v/>
          </cell>
        </row>
        <row r="391">
          <cell r="AA391" t="b">
            <v>0</v>
          </cell>
          <cell r="AB391" t="b">
            <v>0</v>
          </cell>
          <cell r="AC391" t="b">
            <v>0</v>
          </cell>
          <cell r="AD391" t="b">
            <v>0</v>
          </cell>
          <cell r="AE391" t="b">
            <v>0</v>
          </cell>
          <cell r="AF391" t="str">
            <v/>
          </cell>
        </row>
        <row r="392">
          <cell r="AA392" t="b">
            <v>0</v>
          </cell>
          <cell r="AB392" t="b">
            <v>0</v>
          </cell>
          <cell r="AC392" t="b">
            <v>0</v>
          </cell>
          <cell r="AD392" t="b">
            <v>0</v>
          </cell>
          <cell r="AE392" t="b">
            <v>0</v>
          </cell>
          <cell r="AF392" t="str">
            <v/>
          </cell>
        </row>
        <row r="393">
          <cell r="AA393" t="b">
            <v>0</v>
          </cell>
          <cell r="AB393" t="b">
            <v>0</v>
          </cell>
          <cell r="AC393" t="b">
            <v>0</v>
          </cell>
          <cell r="AD393" t="b">
            <v>0</v>
          </cell>
          <cell r="AE393" t="b">
            <v>0</v>
          </cell>
          <cell r="AF393" t="str">
            <v/>
          </cell>
        </row>
        <row r="394">
          <cell r="AA394" t="b">
            <v>0</v>
          </cell>
          <cell r="AB394" t="b">
            <v>0</v>
          </cell>
          <cell r="AC394" t="b">
            <v>0</v>
          </cell>
          <cell r="AD394" t="b">
            <v>0</v>
          </cell>
          <cell r="AE394" t="b">
            <v>0</v>
          </cell>
          <cell r="AF394" t="str">
            <v/>
          </cell>
        </row>
        <row r="395">
          <cell r="AA395" t="b">
            <v>0</v>
          </cell>
          <cell r="AB395" t="b">
            <v>0</v>
          </cell>
          <cell r="AC395" t="b">
            <v>0</v>
          </cell>
          <cell r="AD395" t="b">
            <v>0</v>
          </cell>
          <cell r="AE395" t="b">
            <v>0</v>
          </cell>
          <cell r="AF395" t="str">
            <v/>
          </cell>
        </row>
        <row r="396">
          <cell r="AA396" t="b">
            <v>0</v>
          </cell>
          <cell r="AB396" t="b">
            <v>0</v>
          </cell>
          <cell r="AC396" t="b">
            <v>0</v>
          </cell>
          <cell r="AD396" t="b">
            <v>0</v>
          </cell>
          <cell r="AE396" t="b">
            <v>0</v>
          </cell>
          <cell r="AF396" t="str">
            <v/>
          </cell>
        </row>
        <row r="397">
          <cell r="AA397" t="b">
            <v>0</v>
          </cell>
          <cell r="AB397" t="b">
            <v>0</v>
          </cell>
          <cell r="AC397" t="b">
            <v>0</v>
          </cell>
          <cell r="AD397" t="b">
            <v>0</v>
          </cell>
          <cell r="AE397" t="b">
            <v>0</v>
          </cell>
          <cell r="AF397" t="str">
            <v/>
          </cell>
        </row>
        <row r="398">
          <cell r="AA398" t="b">
            <v>0</v>
          </cell>
          <cell r="AB398" t="b">
            <v>0</v>
          </cell>
          <cell r="AC398" t="b">
            <v>0</v>
          </cell>
          <cell r="AD398" t="b">
            <v>0</v>
          </cell>
          <cell r="AE398" t="b">
            <v>0</v>
          </cell>
          <cell r="AF398" t="str">
            <v/>
          </cell>
        </row>
        <row r="399">
          <cell r="AA399" t="b">
            <v>0</v>
          </cell>
          <cell r="AB399" t="b">
            <v>0</v>
          </cell>
          <cell r="AC399" t="b">
            <v>0</v>
          </cell>
          <cell r="AD399" t="b">
            <v>0</v>
          </cell>
          <cell r="AE399" t="b">
            <v>0</v>
          </cell>
          <cell r="AF399" t="str">
            <v/>
          </cell>
        </row>
        <row r="400">
          <cell r="AA400" t="b">
            <v>0</v>
          </cell>
          <cell r="AB400" t="b">
            <v>0</v>
          </cell>
          <cell r="AC400" t="b">
            <v>0</v>
          </cell>
          <cell r="AD400" t="b">
            <v>0</v>
          </cell>
          <cell r="AE400" t="b">
            <v>0</v>
          </cell>
          <cell r="AF400" t="str">
            <v/>
          </cell>
        </row>
        <row r="401">
          <cell r="AA401" t="b">
            <v>0</v>
          </cell>
          <cell r="AB401" t="b">
            <v>0</v>
          </cell>
          <cell r="AC401" t="b">
            <v>0</v>
          </cell>
          <cell r="AD401" t="b">
            <v>0</v>
          </cell>
          <cell r="AE401" t="b">
            <v>0</v>
          </cell>
          <cell r="AF401" t="str">
            <v/>
          </cell>
        </row>
        <row r="402">
          <cell r="AA402" t="b">
            <v>0</v>
          </cell>
          <cell r="AB402" t="b">
            <v>0</v>
          </cell>
          <cell r="AC402" t="b">
            <v>0</v>
          </cell>
          <cell r="AD402" t="b">
            <v>0</v>
          </cell>
          <cell r="AE402" t="b">
            <v>0</v>
          </cell>
          <cell r="AF402" t="str">
            <v/>
          </cell>
        </row>
        <row r="403">
          <cell r="AA403" t="b">
            <v>0</v>
          </cell>
          <cell r="AB403" t="b">
            <v>0</v>
          </cell>
          <cell r="AC403" t="b">
            <v>0</v>
          </cell>
          <cell r="AD403" t="b">
            <v>0</v>
          </cell>
          <cell r="AE403" t="b">
            <v>0</v>
          </cell>
          <cell r="AF403" t="str">
            <v/>
          </cell>
        </row>
        <row r="404">
          <cell r="AA404" t="b">
            <v>0</v>
          </cell>
          <cell r="AB404" t="b">
            <v>0</v>
          </cell>
          <cell r="AC404" t="b">
            <v>0</v>
          </cell>
          <cell r="AD404" t="b">
            <v>0</v>
          </cell>
          <cell r="AE404" t="b">
            <v>0</v>
          </cell>
          <cell r="AF404" t="str">
            <v/>
          </cell>
        </row>
        <row r="405">
          <cell r="AA405" t="b">
            <v>0</v>
          </cell>
          <cell r="AB405" t="b">
            <v>0</v>
          </cell>
          <cell r="AC405" t="b">
            <v>0</v>
          </cell>
          <cell r="AD405" t="b">
            <v>0</v>
          </cell>
          <cell r="AE405" t="b">
            <v>0</v>
          </cell>
          <cell r="AF405" t="str">
            <v/>
          </cell>
        </row>
        <row r="406">
          <cell r="AA406" t="b">
            <v>0</v>
          </cell>
          <cell r="AB406" t="b">
            <v>0</v>
          </cell>
          <cell r="AC406" t="b">
            <v>0</v>
          </cell>
          <cell r="AD406" t="b">
            <v>0</v>
          </cell>
          <cell r="AE406" t="b">
            <v>0</v>
          </cell>
          <cell r="AF406" t="str">
            <v/>
          </cell>
        </row>
        <row r="407">
          <cell r="AA407" t="b">
            <v>0</v>
          </cell>
          <cell r="AB407" t="b">
            <v>0</v>
          </cell>
          <cell r="AC407" t="b">
            <v>0</v>
          </cell>
          <cell r="AD407" t="b">
            <v>0</v>
          </cell>
          <cell r="AE407" t="b">
            <v>0</v>
          </cell>
          <cell r="AF407" t="str">
            <v/>
          </cell>
        </row>
        <row r="408">
          <cell r="AA408" t="b">
            <v>0</v>
          </cell>
          <cell r="AB408" t="b">
            <v>0</v>
          </cell>
          <cell r="AC408" t="b">
            <v>0</v>
          </cell>
          <cell r="AD408" t="b">
            <v>0</v>
          </cell>
          <cell r="AE408" t="b">
            <v>0</v>
          </cell>
          <cell r="AF408" t="str">
            <v/>
          </cell>
        </row>
        <row r="409">
          <cell r="AA409" t="b">
            <v>0</v>
          </cell>
          <cell r="AB409" t="b">
            <v>0</v>
          </cell>
          <cell r="AC409" t="b">
            <v>0</v>
          </cell>
          <cell r="AD409" t="b">
            <v>0</v>
          </cell>
          <cell r="AE409" t="b">
            <v>0</v>
          </cell>
          <cell r="AF409" t="str">
            <v/>
          </cell>
        </row>
        <row r="410">
          <cell r="AA410" t="b">
            <v>0</v>
          </cell>
          <cell r="AB410" t="b">
            <v>0</v>
          </cell>
          <cell r="AC410" t="b">
            <v>0</v>
          </cell>
          <cell r="AD410" t="b">
            <v>0</v>
          </cell>
          <cell r="AE410" t="b">
            <v>0</v>
          </cell>
          <cell r="AF410" t="str">
            <v/>
          </cell>
        </row>
        <row r="411">
          <cell r="AA411" t="b">
            <v>0</v>
          </cell>
          <cell r="AB411" t="b">
            <v>0</v>
          </cell>
          <cell r="AC411" t="b">
            <v>0</v>
          </cell>
          <cell r="AD411" t="b">
            <v>0</v>
          </cell>
          <cell r="AE411" t="b">
            <v>0</v>
          </cell>
          <cell r="AF411" t="str">
            <v/>
          </cell>
        </row>
        <row r="412">
          <cell r="AA412" t="b">
            <v>0</v>
          </cell>
          <cell r="AB412" t="b">
            <v>0</v>
          </cell>
          <cell r="AC412" t="b">
            <v>0</v>
          </cell>
          <cell r="AD412" t="b">
            <v>0</v>
          </cell>
          <cell r="AE412" t="b">
            <v>0</v>
          </cell>
          <cell r="AF412" t="str">
            <v/>
          </cell>
        </row>
        <row r="413">
          <cell r="AA413" t="b">
            <v>0</v>
          </cell>
          <cell r="AB413" t="b">
            <v>0</v>
          </cell>
          <cell r="AC413" t="b">
            <v>0</v>
          </cell>
          <cell r="AD413" t="b">
            <v>0</v>
          </cell>
          <cell r="AE413" t="b">
            <v>0</v>
          </cell>
          <cell r="AF413" t="str">
            <v/>
          </cell>
        </row>
        <row r="414">
          <cell r="AA414" t="b">
            <v>0</v>
          </cell>
          <cell r="AB414" t="b">
            <v>0</v>
          </cell>
          <cell r="AC414" t="b">
            <v>0</v>
          </cell>
          <cell r="AD414" t="b">
            <v>0</v>
          </cell>
          <cell r="AE414" t="b">
            <v>0</v>
          </cell>
          <cell r="AF414" t="str">
            <v/>
          </cell>
        </row>
        <row r="415">
          <cell r="AA415" t="b">
            <v>0</v>
          </cell>
          <cell r="AB415" t="b">
            <v>0</v>
          </cell>
          <cell r="AC415" t="b">
            <v>0</v>
          </cell>
          <cell r="AD415" t="b">
            <v>0</v>
          </cell>
          <cell r="AE415" t="b">
            <v>0</v>
          </cell>
          <cell r="AF415" t="str">
            <v/>
          </cell>
        </row>
        <row r="416">
          <cell r="AA416" t="b">
            <v>0</v>
          </cell>
          <cell r="AB416" t="b">
            <v>0</v>
          </cell>
          <cell r="AC416" t="b">
            <v>0</v>
          </cell>
          <cell r="AD416" t="b">
            <v>0</v>
          </cell>
          <cell r="AE416" t="b">
            <v>0</v>
          </cell>
          <cell r="AF416" t="str">
            <v/>
          </cell>
        </row>
        <row r="417">
          <cell r="AA417" t="b">
            <v>0</v>
          </cell>
          <cell r="AB417" t="b">
            <v>0</v>
          </cell>
          <cell r="AC417" t="b">
            <v>0</v>
          </cell>
          <cell r="AD417" t="b">
            <v>0</v>
          </cell>
          <cell r="AE417" t="b">
            <v>0</v>
          </cell>
          <cell r="AF417" t="str">
            <v/>
          </cell>
        </row>
        <row r="418">
          <cell r="AA418" t="b">
            <v>0</v>
          </cell>
          <cell r="AB418" t="b">
            <v>0</v>
          </cell>
          <cell r="AC418" t="b">
            <v>0</v>
          </cell>
          <cell r="AD418" t="b">
            <v>0</v>
          </cell>
          <cell r="AE418" t="b">
            <v>0</v>
          </cell>
          <cell r="AF418" t="str">
            <v/>
          </cell>
        </row>
        <row r="419">
          <cell r="AA419" t="b">
            <v>0</v>
          </cell>
          <cell r="AB419" t="b">
            <v>0</v>
          </cell>
          <cell r="AC419" t="b">
            <v>0</v>
          </cell>
          <cell r="AD419" t="b">
            <v>0</v>
          </cell>
          <cell r="AE419" t="b">
            <v>0</v>
          </cell>
          <cell r="AF419" t="str">
            <v/>
          </cell>
        </row>
        <row r="420">
          <cell r="AA420" t="b">
            <v>0</v>
          </cell>
          <cell r="AB420" t="b">
            <v>0</v>
          </cell>
          <cell r="AC420" t="b">
            <v>0</v>
          </cell>
          <cell r="AD420" t="b">
            <v>0</v>
          </cell>
          <cell r="AE420" t="b">
            <v>0</v>
          </cell>
          <cell r="AF420" t="str">
            <v/>
          </cell>
        </row>
        <row r="421">
          <cell r="AA421" t="b">
            <v>0</v>
          </cell>
          <cell r="AB421" t="b">
            <v>0</v>
          </cell>
          <cell r="AC421" t="b">
            <v>0</v>
          </cell>
          <cell r="AD421" t="b">
            <v>0</v>
          </cell>
          <cell r="AE421" t="b">
            <v>0</v>
          </cell>
          <cell r="AF421" t="str">
            <v/>
          </cell>
        </row>
        <row r="422">
          <cell r="AA422" t="b">
            <v>0</v>
          </cell>
          <cell r="AB422" t="b">
            <v>0</v>
          </cell>
          <cell r="AC422" t="b">
            <v>0</v>
          </cell>
          <cell r="AD422" t="b">
            <v>0</v>
          </cell>
          <cell r="AE422" t="b">
            <v>0</v>
          </cell>
          <cell r="AF422" t="str">
            <v/>
          </cell>
        </row>
        <row r="423">
          <cell r="AA423" t="b">
            <v>0</v>
          </cell>
          <cell r="AB423" t="b">
            <v>0</v>
          </cell>
          <cell r="AC423" t="b">
            <v>0</v>
          </cell>
          <cell r="AD423" t="b">
            <v>0</v>
          </cell>
          <cell r="AE423" t="b">
            <v>0</v>
          </cell>
          <cell r="AF423" t="str">
            <v/>
          </cell>
        </row>
        <row r="424">
          <cell r="AA424" t="b">
            <v>0</v>
          </cell>
          <cell r="AB424" t="b">
            <v>0</v>
          </cell>
          <cell r="AC424" t="b">
            <v>0</v>
          </cell>
          <cell r="AD424" t="b">
            <v>0</v>
          </cell>
          <cell r="AE424" t="b">
            <v>0</v>
          </cell>
          <cell r="AF424" t="str">
            <v/>
          </cell>
        </row>
        <row r="425">
          <cell r="AA425" t="b">
            <v>0</v>
          </cell>
          <cell r="AB425" t="b">
            <v>0</v>
          </cell>
          <cell r="AC425" t="b">
            <v>0</v>
          </cell>
          <cell r="AD425" t="b">
            <v>0</v>
          </cell>
          <cell r="AE425" t="b">
            <v>0</v>
          </cell>
          <cell r="AF425" t="str">
            <v/>
          </cell>
        </row>
        <row r="426">
          <cell r="AA426" t="b">
            <v>0</v>
          </cell>
          <cell r="AB426" t="b">
            <v>0</v>
          </cell>
          <cell r="AC426" t="b">
            <v>0</v>
          </cell>
          <cell r="AD426" t="b">
            <v>0</v>
          </cell>
          <cell r="AE426" t="b">
            <v>0</v>
          </cell>
          <cell r="AF426" t="str">
            <v/>
          </cell>
        </row>
        <row r="427">
          <cell r="AA427" t="b">
            <v>0</v>
          </cell>
          <cell r="AB427" t="b">
            <v>0</v>
          </cell>
          <cell r="AC427" t="b">
            <v>0</v>
          </cell>
          <cell r="AD427" t="b">
            <v>0</v>
          </cell>
          <cell r="AE427" t="b">
            <v>0</v>
          </cell>
          <cell r="AF427" t="str">
            <v/>
          </cell>
        </row>
        <row r="428">
          <cell r="AA428" t="b">
            <v>0</v>
          </cell>
          <cell r="AB428" t="b">
            <v>0</v>
          </cell>
          <cell r="AC428" t="b">
            <v>0</v>
          </cell>
          <cell r="AD428" t="b">
            <v>0</v>
          </cell>
          <cell r="AE428" t="b">
            <v>0</v>
          </cell>
          <cell r="AF428" t="str">
            <v/>
          </cell>
        </row>
        <row r="429">
          <cell r="AA429" t="b">
            <v>0</v>
          </cell>
          <cell r="AB429" t="b">
            <v>0</v>
          </cell>
          <cell r="AC429" t="b">
            <v>0</v>
          </cell>
          <cell r="AD429" t="b">
            <v>0</v>
          </cell>
          <cell r="AE429" t="b">
            <v>0</v>
          </cell>
          <cell r="AF429" t="str">
            <v/>
          </cell>
        </row>
        <row r="430">
          <cell r="AA430" t="b">
            <v>0</v>
          </cell>
          <cell r="AB430" t="b">
            <v>0</v>
          </cell>
          <cell r="AC430" t="b">
            <v>0</v>
          </cell>
          <cell r="AD430" t="b">
            <v>0</v>
          </cell>
          <cell r="AE430" t="b">
            <v>0</v>
          </cell>
          <cell r="AF430" t="str">
            <v/>
          </cell>
        </row>
        <row r="431">
          <cell r="AA431" t="b">
            <v>0</v>
          </cell>
          <cell r="AB431" t="b">
            <v>0</v>
          </cell>
          <cell r="AC431" t="b">
            <v>0</v>
          </cell>
          <cell r="AD431" t="b">
            <v>0</v>
          </cell>
          <cell r="AE431" t="b">
            <v>0</v>
          </cell>
          <cell r="AF431" t="str">
            <v/>
          </cell>
        </row>
        <row r="432">
          <cell r="AA432" t="b">
            <v>0</v>
          </cell>
          <cell r="AB432" t="b">
            <v>0</v>
          </cell>
          <cell r="AC432" t="b">
            <v>0</v>
          </cell>
          <cell r="AD432" t="b">
            <v>0</v>
          </cell>
          <cell r="AE432" t="b">
            <v>0</v>
          </cell>
          <cell r="AF432" t="str">
            <v/>
          </cell>
        </row>
        <row r="433">
          <cell r="AA433" t="b">
            <v>0</v>
          </cell>
          <cell r="AB433" t="b">
            <v>0</v>
          </cell>
          <cell r="AC433" t="b">
            <v>0</v>
          </cell>
          <cell r="AD433" t="b">
            <v>0</v>
          </cell>
          <cell r="AE433" t="b">
            <v>0</v>
          </cell>
          <cell r="AF433" t="str">
            <v/>
          </cell>
        </row>
        <row r="434">
          <cell r="AA434" t="b">
            <v>0</v>
          </cell>
          <cell r="AB434" t="b">
            <v>0</v>
          </cell>
          <cell r="AC434" t="b">
            <v>0</v>
          </cell>
          <cell r="AD434" t="b">
            <v>0</v>
          </cell>
          <cell r="AE434" t="b">
            <v>0</v>
          </cell>
          <cell r="AF434" t="str">
            <v/>
          </cell>
        </row>
        <row r="435">
          <cell r="AA435" t="b">
            <v>0</v>
          </cell>
          <cell r="AB435" t="b">
            <v>0</v>
          </cell>
          <cell r="AC435" t="b">
            <v>0</v>
          </cell>
          <cell r="AD435" t="b">
            <v>0</v>
          </cell>
          <cell r="AE435" t="b">
            <v>0</v>
          </cell>
          <cell r="AF435" t="str">
            <v/>
          </cell>
        </row>
        <row r="436">
          <cell r="AA436" t="b">
            <v>0</v>
          </cell>
          <cell r="AB436" t="b">
            <v>0</v>
          </cell>
          <cell r="AC436" t="b">
            <v>0</v>
          </cell>
          <cell r="AD436" t="b">
            <v>0</v>
          </cell>
          <cell r="AE436" t="b">
            <v>0</v>
          </cell>
          <cell r="AF436" t="str">
            <v/>
          </cell>
        </row>
        <row r="437">
          <cell r="AA437" t="b">
            <v>0</v>
          </cell>
          <cell r="AB437" t="b">
            <v>0</v>
          </cell>
          <cell r="AC437" t="b">
            <v>0</v>
          </cell>
          <cell r="AD437" t="b">
            <v>0</v>
          </cell>
          <cell r="AE437" t="b">
            <v>0</v>
          </cell>
          <cell r="AF437" t="str">
            <v/>
          </cell>
        </row>
        <row r="438">
          <cell r="AA438" t="b">
            <v>0</v>
          </cell>
          <cell r="AB438" t="b">
            <v>0</v>
          </cell>
          <cell r="AC438" t="b">
            <v>0</v>
          </cell>
          <cell r="AD438" t="b">
            <v>0</v>
          </cell>
          <cell r="AE438" t="b">
            <v>0</v>
          </cell>
          <cell r="AF438" t="str">
            <v/>
          </cell>
        </row>
        <row r="439">
          <cell r="AA439" t="b">
            <v>0</v>
          </cell>
          <cell r="AB439" t="b">
            <v>0</v>
          </cell>
          <cell r="AC439" t="b">
            <v>0</v>
          </cell>
          <cell r="AD439" t="b">
            <v>0</v>
          </cell>
          <cell r="AE439" t="b">
            <v>0</v>
          </cell>
          <cell r="AF439" t="str">
            <v/>
          </cell>
        </row>
        <row r="440">
          <cell r="AA440" t="b">
            <v>0</v>
          </cell>
          <cell r="AB440" t="b">
            <v>0</v>
          </cell>
          <cell r="AC440" t="b">
            <v>0</v>
          </cell>
          <cell r="AD440" t="b">
            <v>0</v>
          </cell>
          <cell r="AE440" t="b">
            <v>0</v>
          </cell>
          <cell r="AF440" t="str">
            <v/>
          </cell>
        </row>
        <row r="441">
          <cell r="AA441" t="b">
            <v>0</v>
          </cell>
          <cell r="AB441" t="b">
            <v>0</v>
          </cell>
          <cell r="AC441" t="b">
            <v>0</v>
          </cell>
          <cell r="AD441" t="b">
            <v>0</v>
          </cell>
          <cell r="AE441" t="b">
            <v>0</v>
          </cell>
          <cell r="AF441" t="str">
            <v/>
          </cell>
        </row>
        <row r="442">
          <cell r="AA442" t="b">
            <v>0</v>
          </cell>
          <cell r="AB442" t="b">
            <v>0</v>
          </cell>
          <cell r="AC442" t="b">
            <v>0</v>
          </cell>
          <cell r="AD442" t="b">
            <v>0</v>
          </cell>
          <cell r="AE442" t="b">
            <v>0</v>
          </cell>
          <cell r="AF442" t="str">
            <v/>
          </cell>
        </row>
        <row r="443">
          <cell r="AA443" t="b">
            <v>0</v>
          </cell>
          <cell r="AB443" t="b">
            <v>0</v>
          </cell>
          <cell r="AC443" t="b">
            <v>0</v>
          </cell>
          <cell r="AD443" t="b">
            <v>0</v>
          </cell>
          <cell r="AE443" t="b">
            <v>0</v>
          </cell>
          <cell r="AF443" t="str">
            <v/>
          </cell>
        </row>
        <row r="444">
          <cell r="AA444" t="b">
            <v>0</v>
          </cell>
          <cell r="AB444" t="b">
            <v>0</v>
          </cell>
          <cell r="AC444" t="b">
            <v>0</v>
          </cell>
          <cell r="AD444" t="b">
            <v>0</v>
          </cell>
          <cell r="AE444" t="b">
            <v>0</v>
          </cell>
          <cell r="AF444" t="str">
            <v/>
          </cell>
        </row>
        <row r="445">
          <cell r="AA445" t="b">
            <v>0</v>
          </cell>
          <cell r="AB445" t="b">
            <v>0</v>
          </cell>
          <cell r="AC445" t="b">
            <v>0</v>
          </cell>
          <cell r="AD445" t="b">
            <v>0</v>
          </cell>
          <cell r="AE445" t="b">
            <v>0</v>
          </cell>
          <cell r="AF445" t="str">
            <v/>
          </cell>
        </row>
        <row r="446">
          <cell r="AA446" t="b">
            <v>0</v>
          </cell>
          <cell r="AB446" t="b">
            <v>0</v>
          </cell>
          <cell r="AC446" t="b">
            <v>0</v>
          </cell>
          <cell r="AD446" t="b">
            <v>0</v>
          </cell>
          <cell r="AE446" t="b">
            <v>0</v>
          </cell>
          <cell r="AF446" t="str">
            <v/>
          </cell>
        </row>
        <row r="447">
          <cell r="AA447" t="b">
            <v>0</v>
          </cell>
          <cell r="AB447" t="b">
            <v>0</v>
          </cell>
          <cell r="AC447" t="b">
            <v>0</v>
          </cell>
          <cell r="AD447" t="b">
            <v>0</v>
          </cell>
          <cell r="AE447" t="b">
            <v>0</v>
          </cell>
          <cell r="AF447" t="str">
            <v/>
          </cell>
        </row>
        <row r="448">
          <cell r="AA448" t="b">
            <v>0</v>
          </cell>
          <cell r="AB448" t="b">
            <v>0</v>
          </cell>
          <cell r="AC448" t="b">
            <v>0</v>
          </cell>
          <cell r="AD448" t="b">
            <v>0</v>
          </cell>
          <cell r="AE448" t="b">
            <v>0</v>
          </cell>
          <cell r="AF448" t="str">
            <v/>
          </cell>
        </row>
        <row r="449">
          <cell r="AA449" t="b">
            <v>0</v>
          </cell>
          <cell r="AB449" t="b">
            <v>0</v>
          </cell>
          <cell r="AC449" t="b">
            <v>0</v>
          </cell>
          <cell r="AD449" t="b">
            <v>0</v>
          </cell>
          <cell r="AE449" t="b">
            <v>0</v>
          </cell>
          <cell r="AF449" t="str">
            <v/>
          </cell>
        </row>
        <row r="450">
          <cell r="AA450" t="b">
            <v>0</v>
          </cell>
          <cell r="AB450" t="b">
            <v>0</v>
          </cell>
          <cell r="AC450" t="b">
            <v>0</v>
          </cell>
          <cell r="AD450" t="b">
            <v>0</v>
          </cell>
          <cell r="AE450" t="b">
            <v>0</v>
          </cell>
          <cell r="AF450" t="str">
            <v/>
          </cell>
        </row>
        <row r="451">
          <cell r="AA451" t="b">
            <v>0</v>
          </cell>
          <cell r="AB451" t="b">
            <v>0</v>
          </cell>
          <cell r="AC451" t="b">
            <v>0</v>
          </cell>
          <cell r="AD451" t="b">
            <v>0</v>
          </cell>
          <cell r="AE451" t="b">
            <v>0</v>
          </cell>
          <cell r="AF451" t="str">
            <v/>
          </cell>
        </row>
        <row r="452">
          <cell r="AA452" t="b">
            <v>0</v>
          </cell>
          <cell r="AB452" t="b">
            <v>0</v>
          </cell>
          <cell r="AC452" t="b">
            <v>0</v>
          </cell>
          <cell r="AD452" t="b">
            <v>0</v>
          </cell>
          <cell r="AE452" t="b">
            <v>0</v>
          </cell>
          <cell r="AF452" t="str">
            <v/>
          </cell>
        </row>
        <row r="453">
          <cell r="AA453" t="b">
            <v>0</v>
          </cell>
          <cell r="AB453" t="b">
            <v>0</v>
          </cell>
          <cell r="AC453" t="b">
            <v>0</v>
          </cell>
          <cell r="AD453" t="b">
            <v>0</v>
          </cell>
          <cell r="AE453" t="b">
            <v>0</v>
          </cell>
          <cell r="AF453" t="str">
            <v/>
          </cell>
        </row>
        <row r="454">
          <cell r="AA454" t="b">
            <v>0</v>
          </cell>
          <cell r="AB454" t="b">
            <v>0</v>
          </cell>
          <cell r="AC454" t="b">
            <v>0</v>
          </cell>
          <cell r="AD454" t="b">
            <v>0</v>
          </cell>
          <cell r="AE454" t="b">
            <v>0</v>
          </cell>
          <cell r="AF454" t="str">
            <v/>
          </cell>
        </row>
        <row r="455">
          <cell r="AA455" t="b">
            <v>0</v>
          </cell>
          <cell r="AB455" t="b">
            <v>0</v>
          </cell>
          <cell r="AC455" t="b">
            <v>0</v>
          </cell>
          <cell r="AD455" t="b">
            <v>0</v>
          </cell>
          <cell r="AE455" t="b">
            <v>0</v>
          </cell>
          <cell r="AF455" t="str">
            <v/>
          </cell>
        </row>
        <row r="456">
          <cell r="AA456" t="b">
            <v>0</v>
          </cell>
          <cell r="AB456" t="b">
            <v>0</v>
          </cell>
          <cell r="AC456" t="b">
            <v>0</v>
          </cell>
          <cell r="AD456" t="b">
            <v>0</v>
          </cell>
          <cell r="AE456" t="b">
            <v>0</v>
          </cell>
          <cell r="AF456" t="str">
            <v/>
          </cell>
        </row>
        <row r="457">
          <cell r="AA457" t="b">
            <v>0</v>
          </cell>
          <cell r="AB457" t="b">
            <v>0</v>
          </cell>
          <cell r="AC457" t="b">
            <v>0</v>
          </cell>
          <cell r="AD457" t="b">
            <v>0</v>
          </cell>
          <cell r="AE457" t="b">
            <v>0</v>
          </cell>
          <cell r="AF457" t="str">
            <v/>
          </cell>
        </row>
        <row r="458">
          <cell r="AA458" t="b">
            <v>0</v>
          </cell>
          <cell r="AB458" t="b">
            <v>0</v>
          </cell>
          <cell r="AC458" t="b">
            <v>0</v>
          </cell>
          <cell r="AD458" t="b">
            <v>0</v>
          </cell>
          <cell r="AE458" t="b">
            <v>0</v>
          </cell>
          <cell r="AF458" t="str">
            <v/>
          </cell>
        </row>
        <row r="459">
          <cell r="AA459" t="b">
            <v>0</v>
          </cell>
          <cell r="AB459" t="b">
            <v>0</v>
          </cell>
          <cell r="AC459" t="b">
            <v>0</v>
          </cell>
          <cell r="AD459" t="b">
            <v>0</v>
          </cell>
          <cell r="AE459" t="b">
            <v>0</v>
          </cell>
          <cell r="AF459" t="str">
            <v/>
          </cell>
        </row>
        <row r="460">
          <cell r="AA460" t="b">
            <v>0</v>
          </cell>
          <cell r="AB460" t="b">
            <v>0</v>
          </cell>
          <cell r="AC460" t="b">
            <v>0</v>
          </cell>
          <cell r="AD460" t="b">
            <v>0</v>
          </cell>
          <cell r="AE460" t="b">
            <v>0</v>
          </cell>
          <cell r="AF460" t="str">
            <v/>
          </cell>
        </row>
        <row r="461">
          <cell r="AA461" t="b">
            <v>0</v>
          </cell>
          <cell r="AB461" t="b">
            <v>0</v>
          </cell>
          <cell r="AC461" t="b">
            <v>0</v>
          </cell>
          <cell r="AD461" t="b">
            <v>0</v>
          </cell>
          <cell r="AE461" t="b">
            <v>0</v>
          </cell>
          <cell r="AF461" t="str">
            <v/>
          </cell>
        </row>
        <row r="462">
          <cell r="AA462" t="b">
            <v>0</v>
          </cell>
          <cell r="AB462" t="b">
            <v>0</v>
          </cell>
          <cell r="AC462" t="b">
            <v>0</v>
          </cell>
          <cell r="AD462" t="b">
            <v>0</v>
          </cell>
          <cell r="AE462" t="b">
            <v>0</v>
          </cell>
          <cell r="AF462" t="str">
            <v/>
          </cell>
        </row>
        <row r="463">
          <cell r="AA463" t="b">
            <v>0</v>
          </cell>
          <cell r="AB463" t="b">
            <v>0</v>
          </cell>
          <cell r="AC463" t="b">
            <v>0</v>
          </cell>
          <cell r="AD463" t="b">
            <v>0</v>
          </cell>
          <cell r="AE463" t="b">
            <v>0</v>
          </cell>
          <cell r="AF463" t="str">
            <v/>
          </cell>
        </row>
        <row r="464">
          <cell r="AA464" t="b">
            <v>0</v>
          </cell>
          <cell r="AB464" t="b">
            <v>0</v>
          </cell>
          <cell r="AC464" t="b">
            <v>0</v>
          </cell>
          <cell r="AD464" t="b">
            <v>0</v>
          </cell>
          <cell r="AE464" t="b">
            <v>0</v>
          </cell>
          <cell r="AF464" t="str">
            <v/>
          </cell>
        </row>
        <row r="465">
          <cell r="AA465" t="b">
            <v>0</v>
          </cell>
          <cell r="AB465" t="b">
            <v>0</v>
          </cell>
          <cell r="AC465" t="b">
            <v>0</v>
          </cell>
          <cell r="AD465" t="b">
            <v>0</v>
          </cell>
          <cell r="AE465" t="b">
            <v>0</v>
          </cell>
          <cell r="AF465" t="str">
            <v/>
          </cell>
        </row>
        <row r="466">
          <cell r="AA466" t="b">
            <v>0</v>
          </cell>
          <cell r="AB466" t="b">
            <v>0</v>
          </cell>
          <cell r="AC466" t="b">
            <v>0</v>
          </cell>
          <cell r="AD466" t="b">
            <v>0</v>
          </cell>
          <cell r="AE466" t="b">
            <v>0</v>
          </cell>
          <cell r="AF466" t="str">
            <v/>
          </cell>
        </row>
        <row r="467">
          <cell r="AA467" t="b">
            <v>0</v>
          </cell>
          <cell r="AB467" t="b">
            <v>0</v>
          </cell>
          <cell r="AC467" t="b">
            <v>0</v>
          </cell>
          <cell r="AD467" t="b">
            <v>0</v>
          </cell>
          <cell r="AE467" t="b">
            <v>0</v>
          </cell>
          <cell r="AF467" t="str">
            <v/>
          </cell>
        </row>
        <row r="468">
          <cell r="AA468" t="b">
            <v>0</v>
          </cell>
          <cell r="AB468" t="b">
            <v>0</v>
          </cell>
          <cell r="AC468" t="b">
            <v>0</v>
          </cell>
          <cell r="AD468" t="b">
            <v>0</v>
          </cell>
          <cell r="AE468" t="b">
            <v>0</v>
          </cell>
          <cell r="AF468" t="str">
            <v/>
          </cell>
        </row>
        <row r="469">
          <cell r="AA469" t="b">
            <v>0</v>
          </cell>
          <cell r="AB469" t="b">
            <v>0</v>
          </cell>
          <cell r="AC469" t="b">
            <v>0</v>
          </cell>
          <cell r="AD469" t="b">
            <v>0</v>
          </cell>
          <cell r="AE469" t="b">
            <v>0</v>
          </cell>
          <cell r="AF469" t="str">
            <v/>
          </cell>
        </row>
        <row r="470">
          <cell r="AA470" t="b">
            <v>0</v>
          </cell>
          <cell r="AB470" t="b">
            <v>0</v>
          </cell>
          <cell r="AC470" t="b">
            <v>0</v>
          </cell>
          <cell r="AD470" t="b">
            <v>0</v>
          </cell>
          <cell r="AE470" t="b">
            <v>0</v>
          </cell>
          <cell r="AF470" t="str">
            <v/>
          </cell>
        </row>
        <row r="471">
          <cell r="AA471" t="b">
            <v>0</v>
          </cell>
          <cell r="AB471" t="b">
            <v>0</v>
          </cell>
          <cell r="AC471" t="b">
            <v>0</v>
          </cell>
          <cell r="AD471" t="b">
            <v>0</v>
          </cell>
          <cell r="AE471" t="b">
            <v>0</v>
          </cell>
          <cell r="AF471" t="str">
            <v/>
          </cell>
        </row>
        <row r="472">
          <cell r="AA472" t="b">
            <v>0</v>
          </cell>
          <cell r="AB472" t="b">
            <v>0</v>
          </cell>
          <cell r="AC472" t="b">
            <v>0</v>
          </cell>
          <cell r="AD472" t="b">
            <v>0</v>
          </cell>
          <cell r="AE472" t="b">
            <v>0</v>
          </cell>
          <cell r="AF472" t="str">
            <v/>
          </cell>
        </row>
        <row r="473">
          <cell r="AA473" t="b">
            <v>0</v>
          </cell>
          <cell r="AB473" t="b">
            <v>0</v>
          </cell>
          <cell r="AC473" t="b">
            <v>0</v>
          </cell>
          <cell r="AD473" t="b">
            <v>0</v>
          </cell>
          <cell r="AE473" t="b">
            <v>0</v>
          </cell>
          <cell r="AF473" t="str">
            <v/>
          </cell>
        </row>
        <row r="474">
          <cell r="AA474" t="b">
            <v>0</v>
          </cell>
          <cell r="AB474" t="b">
            <v>0</v>
          </cell>
          <cell r="AC474" t="b">
            <v>0</v>
          </cell>
          <cell r="AD474" t="b">
            <v>0</v>
          </cell>
          <cell r="AE474" t="b">
            <v>0</v>
          </cell>
          <cell r="AF474" t="str">
            <v/>
          </cell>
        </row>
        <row r="475">
          <cell r="AA475" t="b">
            <v>0</v>
          </cell>
          <cell r="AB475" t="b">
            <v>0</v>
          </cell>
          <cell r="AC475" t="b">
            <v>0</v>
          </cell>
          <cell r="AD475" t="b">
            <v>0</v>
          </cell>
          <cell r="AE475" t="b">
            <v>0</v>
          </cell>
          <cell r="AF475" t="str">
            <v/>
          </cell>
        </row>
        <row r="476">
          <cell r="AA476" t="b">
            <v>0</v>
          </cell>
          <cell r="AB476" t="b">
            <v>0</v>
          </cell>
          <cell r="AC476" t="b">
            <v>0</v>
          </cell>
          <cell r="AD476" t="b">
            <v>0</v>
          </cell>
          <cell r="AE476" t="b">
            <v>0</v>
          </cell>
          <cell r="AF476" t="str">
            <v/>
          </cell>
        </row>
        <row r="477">
          <cell r="AA477" t="b">
            <v>0</v>
          </cell>
          <cell r="AB477" t="b">
            <v>0</v>
          </cell>
          <cell r="AC477" t="b">
            <v>0</v>
          </cell>
          <cell r="AD477" t="b">
            <v>0</v>
          </cell>
          <cell r="AE477" t="b">
            <v>0</v>
          </cell>
          <cell r="AF477" t="str">
            <v/>
          </cell>
        </row>
        <row r="478">
          <cell r="AA478" t="b">
            <v>0</v>
          </cell>
          <cell r="AB478" t="b">
            <v>0</v>
          </cell>
          <cell r="AC478" t="b">
            <v>0</v>
          </cell>
          <cell r="AD478" t="b">
            <v>0</v>
          </cell>
          <cell r="AE478" t="b">
            <v>0</v>
          </cell>
          <cell r="AF478" t="str">
            <v/>
          </cell>
        </row>
        <row r="479">
          <cell r="AA479" t="b">
            <v>0</v>
          </cell>
          <cell r="AB479" t="b">
            <v>0</v>
          </cell>
          <cell r="AC479" t="b">
            <v>0</v>
          </cell>
          <cell r="AD479" t="b">
            <v>0</v>
          </cell>
          <cell r="AE479" t="b">
            <v>0</v>
          </cell>
          <cell r="AF479" t="str">
            <v/>
          </cell>
        </row>
        <row r="480">
          <cell r="AA480" t="b">
            <v>0</v>
          </cell>
          <cell r="AB480" t="b">
            <v>0</v>
          </cell>
          <cell r="AC480" t="b">
            <v>0</v>
          </cell>
          <cell r="AD480" t="b">
            <v>0</v>
          </cell>
          <cell r="AE480" t="b">
            <v>0</v>
          </cell>
          <cell r="AF480" t="str">
            <v/>
          </cell>
        </row>
        <row r="481">
          <cell r="AA481" t="b">
            <v>0</v>
          </cell>
          <cell r="AB481" t="b">
            <v>0</v>
          </cell>
          <cell r="AC481" t="b">
            <v>0</v>
          </cell>
          <cell r="AD481" t="b">
            <v>0</v>
          </cell>
          <cell r="AE481" t="b">
            <v>0</v>
          </cell>
          <cell r="AF481" t="str">
            <v/>
          </cell>
        </row>
        <row r="482">
          <cell r="AA482" t="b">
            <v>0</v>
          </cell>
          <cell r="AB482" t="b">
            <v>0</v>
          </cell>
          <cell r="AC482" t="b">
            <v>0</v>
          </cell>
          <cell r="AD482" t="b">
            <v>0</v>
          </cell>
          <cell r="AE482" t="b">
            <v>0</v>
          </cell>
          <cell r="AF482" t="str">
            <v/>
          </cell>
        </row>
        <row r="483">
          <cell r="AA483" t="b">
            <v>0</v>
          </cell>
          <cell r="AB483" t="b">
            <v>0</v>
          </cell>
          <cell r="AC483" t="b">
            <v>0</v>
          </cell>
          <cell r="AD483" t="b">
            <v>0</v>
          </cell>
          <cell r="AE483" t="b">
            <v>0</v>
          </cell>
          <cell r="AF483" t="str">
            <v/>
          </cell>
        </row>
        <row r="484">
          <cell r="AA484" t="b">
            <v>0</v>
          </cell>
          <cell r="AB484" t="b">
            <v>0</v>
          </cell>
          <cell r="AC484" t="b">
            <v>0</v>
          </cell>
          <cell r="AD484" t="b">
            <v>0</v>
          </cell>
          <cell r="AE484" t="b">
            <v>0</v>
          </cell>
          <cell r="AF484" t="str">
            <v/>
          </cell>
        </row>
        <row r="485">
          <cell r="AA485" t="b">
            <v>0</v>
          </cell>
          <cell r="AB485" t="b">
            <v>0</v>
          </cell>
          <cell r="AC485" t="b">
            <v>0</v>
          </cell>
          <cell r="AD485" t="b">
            <v>0</v>
          </cell>
          <cell r="AE485" t="b">
            <v>0</v>
          </cell>
          <cell r="AF485" t="str">
            <v/>
          </cell>
        </row>
        <row r="486">
          <cell r="AA486" t="b">
            <v>0</v>
          </cell>
          <cell r="AB486" t="b">
            <v>0</v>
          </cell>
          <cell r="AC486" t="b">
            <v>0</v>
          </cell>
          <cell r="AD486" t="b">
            <v>0</v>
          </cell>
          <cell r="AE486" t="b">
            <v>0</v>
          </cell>
          <cell r="AF486" t="str">
            <v/>
          </cell>
        </row>
        <row r="487">
          <cell r="AA487" t="b">
            <v>0</v>
          </cell>
          <cell r="AB487" t="b">
            <v>0</v>
          </cell>
          <cell r="AC487" t="b">
            <v>0</v>
          </cell>
          <cell r="AD487" t="b">
            <v>0</v>
          </cell>
          <cell r="AE487" t="b">
            <v>0</v>
          </cell>
          <cell r="AF487" t="str">
            <v/>
          </cell>
        </row>
        <row r="488">
          <cell r="AA488" t="b">
            <v>0</v>
          </cell>
          <cell r="AB488" t="b">
            <v>0</v>
          </cell>
          <cell r="AC488" t="b">
            <v>0</v>
          </cell>
          <cell r="AD488" t="b">
            <v>0</v>
          </cell>
          <cell r="AE488" t="b">
            <v>0</v>
          </cell>
          <cell r="AF488" t="str">
            <v/>
          </cell>
        </row>
        <row r="489">
          <cell r="AA489" t="b">
            <v>0</v>
          </cell>
          <cell r="AB489" t="b">
            <v>0</v>
          </cell>
          <cell r="AC489" t="b">
            <v>0</v>
          </cell>
          <cell r="AD489" t="b">
            <v>0</v>
          </cell>
          <cell r="AE489" t="b">
            <v>0</v>
          </cell>
          <cell r="AF489" t="str">
            <v/>
          </cell>
        </row>
        <row r="490">
          <cell r="AA490" t="b">
            <v>0</v>
          </cell>
          <cell r="AB490" t="b">
            <v>0</v>
          </cell>
          <cell r="AC490" t="b">
            <v>0</v>
          </cell>
          <cell r="AD490" t="b">
            <v>0</v>
          </cell>
          <cell r="AE490" t="b">
            <v>0</v>
          </cell>
          <cell r="AF490" t="str">
            <v/>
          </cell>
        </row>
        <row r="491">
          <cell r="AA491" t="b">
            <v>0</v>
          </cell>
          <cell r="AB491" t="b">
            <v>0</v>
          </cell>
          <cell r="AC491" t="b">
            <v>0</v>
          </cell>
          <cell r="AD491" t="b">
            <v>0</v>
          </cell>
          <cell r="AE491" t="b">
            <v>0</v>
          </cell>
          <cell r="AF491" t="str">
            <v/>
          </cell>
        </row>
        <row r="492">
          <cell r="AA492" t="b">
            <v>0</v>
          </cell>
          <cell r="AB492" t="b">
            <v>0</v>
          </cell>
          <cell r="AC492" t="b">
            <v>0</v>
          </cell>
          <cell r="AD492" t="b">
            <v>0</v>
          </cell>
          <cell r="AE492" t="b">
            <v>0</v>
          </cell>
          <cell r="AF492" t="str">
            <v/>
          </cell>
        </row>
        <row r="493">
          <cell r="AA493" t="b">
            <v>0</v>
          </cell>
          <cell r="AB493" t="b">
            <v>0</v>
          </cell>
          <cell r="AC493" t="b">
            <v>0</v>
          </cell>
          <cell r="AD493" t="b">
            <v>0</v>
          </cell>
          <cell r="AE493" t="b">
            <v>0</v>
          </cell>
          <cell r="AF493" t="str">
            <v/>
          </cell>
        </row>
        <row r="494">
          <cell r="AA494" t="b">
            <v>0</v>
          </cell>
          <cell r="AB494" t="b">
            <v>0</v>
          </cell>
          <cell r="AC494" t="b">
            <v>0</v>
          </cell>
          <cell r="AD494" t="b">
            <v>0</v>
          </cell>
          <cell r="AE494" t="b">
            <v>0</v>
          </cell>
          <cell r="AF494" t="str">
            <v/>
          </cell>
        </row>
        <row r="495">
          <cell r="AA495" t="b">
            <v>0</v>
          </cell>
          <cell r="AB495" t="b">
            <v>0</v>
          </cell>
          <cell r="AC495" t="b">
            <v>0</v>
          </cell>
          <cell r="AD495" t="b">
            <v>0</v>
          </cell>
          <cell r="AE495" t="b">
            <v>0</v>
          </cell>
          <cell r="AF495" t="str">
            <v/>
          </cell>
        </row>
        <row r="496">
          <cell r="AA496" t="b">
            <v>0</v>
          </cell>
          <cell r="AB496" t="b">
            <v>0</v>
          </cell>
          <cell r="AC496" t="b">
            <v>0</v>
          </cell>
          <cell r="AD496" t="b">
            <v>0</v>
          </cell>
          <cell r="AE496" t="b">
            <v>0</v>
          </cell>
          <cell r="AF496" t="str">
            <v/>
          </cell>
        </row>
        <row r="497">
          <cell r="AA497" t="b">
            <v>0</v>
          </cell>
          <cell r="AB497" t="b">
            <v>0</v>
          </cell>
          <cell r="AC497" t="b">
            <v>0</v>
          </cell>
          <cell r="AD497" t="b">
            <v>0</v>
          </cell>
          <cell r="AE497" t="b">
            <v>0</v>
          </cell>
          <cell r="AF497" t="str">
            <v/>
          </cell>
        </row>
        <row r="498">
          <cell r="AA498" t="b">
            <v>0</v>
          </cell>
          <cell r="AB498" t="b">
            <v>0</v>
          </cell>
          <cell r="AC498" t="b">
            <v>0</v>
          </cell>
          <cell r="AD498" t="b">
            <v>0</v>
          </cell>
          <cell r="AE498" t="b">
            <v>0</v>
          </cell>
          <cell r="AF498" t="str">
            <v/>
          </cell>
        </row>
        <row r="499">
          <cell r="AA499" t="b">
            <v>0</v>
          </cell>
          <cell r="AB499" t="b">
            <v>0</v>
          </cell>
          <cell r="AC499" t="b">
            <v>0</v>
          </cell>
          <cell r="AD499" t="b">
            <v>0</v>
          </cell>
          <cell r="AE499" t="b">
            <v>0</v>
          </cell>
          <cell r="AF499" t="str">
            <v/>
          </cell>
        </row>
        <row r="500">
          <cell r="AA500" t="b">
            <v>0</v>
          </cell>
          <cell r="AB500" t="b">
            <v>0</v>
          </cell>
          <cell r="AC500" t="b">
            <v>0</v>
          </cell>
          <cell r="AD500" t="b">
            <v>0</v>
          </cell>
          <cell r="AE500" t="b">
            <v>0</v>
          </cell>
          <cell r="AF500" t="str">
            <v/>
          </cell>
        </row>
        <row r="501">
          <cell r="AA501" t="b">
            <v>0</v>
          </cell>
          <cell r="AB501" t="b">
            <v>0</v>
          </cell>
          <cell r="AC501" t="b">
            <v>0</v>
          </cell>
          <cell r="AD501" t="b">
            <v>0</v>
          </cell>
          <cell r="AE501" t="b">
            <v>0</v>
          </cell>
          <cell r="AF501" t="str">
            <v/>
          </cell>
        </row>
        <row r="502">
          <cell r="AA502" t="b">
            <v>0</v>
          </cell>
          <cell r="AB502" t="b">
            <v>0</v>
          </cell>
          <cell r="AC502" t="b">
            <v>0</v>
          </cell>
          <cell r="AD502" t="b">
            <v>0</v>
          </cell>
          <cell r="AE502" t="b">
            <v>0</v>
          </cell>
          <cell r="AF502" t="str">
            <v/>
          </cell>
        </row>
        <row r="503">
          <cell r="AA503" t="b">
            <v>0</v>
          </cell>
          <cell r="AB503" t="b">
            <v>0</v>
          </cell>
          <cell r="AC503" t="b">
            <v>0</v>
          </cell>
          <cell r="AD503" t="b">
            <v>0</v>
          </cell>
          <cell r="AE503" t="b">
            <v>0</v>
          </cell>
          <cell r="AF503" t="str">
            <v/>
          </cell>
        </row>
        <row r="504">
          <cell r="AA504" t="b">
            <v>0</v>
          </cell>
          <cell r="AB504" t="b">
            <v>0</v>
          </cell>
          <cell r="AC504" t="b">
            <v>0</v>
          </cell>
          <cell r="AD504" t="b">
            <v>0</v>
          </cell>
          <cell r="AE504" t="b">
            <v>0</v>
          </cell>
          <cell r="AF504" t="str">
            <v/>
          </cell>
        </row>
        <row r="505">
          <cell r="AA505" t="b">
            <v>0</v>
          </cell>
          <cell r="AB505" t="b">
            <v>0</v>
          </cell>
          <cell r="AC505" t="b">
            <v>0</v>
          </cell>
          <cell r="AD505" t="b">
            <v>0</v>
          </cell>
          <cell r="AE505" t="b">
            <v>0</v>
          </cell>
          <cell r="AF505" t="str">
            <v/>
          </cell>
        </row>
        <row r="506">
          <cell r="AA506" t="b">
            <v>0</v>
          </cell>
          <cell r="AB506" t="b">
            <v>0</v>
          </cell>
          <cell r="AC506" t="b">
            <v>0</v>
          </cell>
          <cell r="AD506" t="b">
            <v>0</v>
          </cell>
          <cell r="AE506" t="b">
            <v>0</v>
          </cell>
          <cell r="AF506" t="str">
            <v/>
          </cell>
        </row>
        <row r="507">
          <cell r="AA507" t="b">
            <v>0</v>
          </cell>
          <cell r="AB507" t="b">
            <v>0</v>
          </cell>
          <cell r="AC507" t="b">
            <v>0</v>
          </cell>
          <cell r="AD507" t="b">
            <v>0</v>
          </cell>
          <cell r="AE507" t="b">
            <v>0</v>
          </cell>
          <cell r="AF507" t="str">
            <v/>
          </cell>
        </row>
        <row r="508">
          <cell r="AA508" t="b">
            <v>0</v>
          </cell>
          <cell r="AB508" t="b">
            <v>0</v>
          </cell>
          <cell r="AC508" t="b">
            <v>0</v>
          </cell>
          <cell r="AD508" t="b">
            <v>0</v>
          </cell>
          <cell r="AE508" t="b">
            <v>0</v>
          </cell>
          <cell r="AF508" t="str">
            <v/>
          </cell>
        </row>
        <row r="509">
          <cell r="AA509" t="b">
            <v>0</v>
          </cell>
          <cell r="AB509" t="b">
            <v>0</v>
          </cell>
          <cell r="AC509" t="b">
            <v>0</v>
          </cell>
          <cell r="AD509" t="b">
            <v>0</v>
          </cell>
          <cell r="AE509" t="b">
            <v>0</v>
          </cell>
          <cell r="AF509" t="str">
            <v/>
          </cell>
        </row>
        <row r="510">
          <cell r="AA510" t="b">
            <v>0</v>
          </cell>
          <cell r="AB510" t="b">
            <v>0</v>
          </cell>
          <cell r="AC510" t="b">
            <v>0</v>
          </cell>
          <cell r="AD510" t="b">
            <v>0</v>
          </cell>
          <cell r="AE510" t="b">
            <v>0</v>
          </cell>
          <cell r="AF510" t="str">
            <v/>
          </cell>
        </row>
        <row r="511">
          <cell r="AA511" t="b">
            <v>0</v>
          </cell>
          <cell r="AB511" t="b">
            <v>0</v>
          </cell>
          <cell r="AC511" t="b">
            <v>0</v>
          </cell>
          <cell r="AD511" t="b">
            <v>0</v>
          </cell>
          <cell r="AE511" t="b">
            <v>0</v>
          </cell>
          <cell r="AF511" t="str">
            <v/>
          </cell>
        </row>
        <row r="512">
          <cell r="AA512" t="b">
            <v>0</v>
          </cell>
          <cell r="AB512" t="b">
            <v>0</v>
          </cell>
          <cell r="AC512" t="b">
            <v>0</v>
          </cell>
          <cell r="AD512" t="b">
            <v>0</v>
          </cell>
          <cell r="AE512" t="b">
            <v>0</v>
          </cell>
          <cell r="AF512" t="str">
            <v/>
          </cell>
        </row>
        <row r="513">
          <cell r="AA513" t="b">
            <v>0</v>
          </cell>
          <cell r="AB513" t="b">
            <v>0</v>
          </cell>
          <cell r="AC513" t="b">
            <v>0</v>
          </cell>
          <cell r="AD513" t="b">
            <v>0</v>
          </cell>
          <cell r="AE513" t="b">
            <v>0</v>
          </cell>
          <cell r="AF513" t="str">
            <v/>
          </cell>
        </row>
        <row r="514">
          <cell r="AA514" t="b">
            <v>0</v>
          </cell>
          <cell r="AB514" t="b">
            <v>0</v>
          </cell>
          <cell r="AC514" t="b">
            <v>0</v>
          </cell>
          <cell r="AD514" t="b">
            <v>0</v>
          </cell>
          <cell r="AE514" t="b">
            <v>0</v>
          </cell>
          <cell r="AF514" t="str">
            <v/>
          </cell>
        </row>
        <row r="515">
          <cell r="AA515" t="b">
            <v>0</v>
          </cell>
          <cell r="AB515" t="b">
            <v>0</v>
          </cell>
          <cell r="AC515" t="b">
            <v>0</v>
          </cell>
          <cell r="AD515" t="b">
            <v>0</v>
          </cell>
          <cell r="AE515" t="b">
            <v>0</v>
          </cell>
          <cell r="AF515" t="str">
            <v/>
          </cell>
        </row>
        <row r="516">
          <cell r="AA516" t="b">
            <v>0</v>
          </cell>
          <cell r="AB516" t="b">
            <v>0</v>
          </cell>
          <cell r="AC516" t="b">
            <v>0</v>
          </cell>
          <cell r="AD516" t="b">
            <v>0</v>
          </cell>
          <cell r="AE516" t="b">
            <v>0</v>
          </cell>
          <cell r="AF516" t="str">
            <v/>
          </cell>
        </row>
        <row r="517">
          <cell r="AA517" t="b">
            <v>0</v>
          </cell>
          <cell r="AB517" t="b">
            <v>0</v>
          </cell>
          <cell r="AC517" t="b">
            <v>0</v>
          </cell>
          <cell r="AD517" t="b">
            <v>0</v>
          </cell>
          <cell r="AE517" t="b">
            <v>0</v>
          </cell>
          <cell r="AF517" t="str">
            <v/>
          </cell>
        </row>
        <row r="518">
          <cell r="AA518" t="b">
            <v>0</v>
          </cell>
          <cell r="AB518" t="b">
            <v>0</v>
          </cell>
          <cell r="AC518" t="b">
            <v>0</v>
          </cell>
          <cell r="AD518" t="b">
            <v>0</v>
          </cell>
          <cell r="AE518" t="b">
            <v>0</v>
          </cell>
          <cell r="AF518" t="str">
            <v/>
          </cell>
        </row>
        <row r="519">
          <cell r="AA519" t="b">
            <v>0</v>
          </cell>
          <cell r="AB519" t="b">
            <v>0</v>
          </cell>
          <cell r="AC519" t="b">
            <v>0</v>
          </cell>
          <cell r="AD519" t="b">
            <v>0</v>
          </cell>
          <cell r="AE519" t="b">
            <v>0</v>
          </cell>
          <cell r="AF519" t="str">
            <v/>
          </cell>
        </row>
        <row r="520">
          <cell r="AA520" t="b">
            <v>0</v>
          </cell>
          <cell r="AB520" t="b">
            <v>0</v>
          </cell>
          <cell r="AC520" t="b">
            <v>0</v>
          </cell>
          <cell r="AD520" t="b">
            <v>0</v>
          </cell>
          <cell r="AE520" t="b">
            <v>0</v>
          </cell>
          <cell r="AF520" t="str">
            <v/>
          </cell>
        </row>
        <row r="521">
          <cell r="AA521" t="b">
            <v>0</v>
          </cell>
          <cell r="AB521" t="b">
            <v>0</v>
          </cell>
          <cell r="AC521" t="b">
            <v>0</v>
          </cell>
          <cell r="AD521" t="b">
            <v>0</v>
          </cell>
          <cell r="AE521" t="b">
            <v>0</v>
          </cell>
          <cell r="AF521" t="str">
            <v/>
          </cell>
        </row>
        <row r="522">
          <cell r="AA522" t="b">
            <v>0</v>
          </cell>
          <cell r="AB522" t="b">
            <v>0</v>
          </cell>
          <cell r="AC522" t="b">
            <v>0</v>
          </cell>
          <cell r="AD522" t="b">
            <v>0</v>
          </cell>
          <cell r="AE522" t="b">
            <v>0</v>
          </cell>
          <cell r="AF522" t="str">
            <v/>
          </cell>
        </row>
        <row r="523">
          <cell r="AA523" t="b">
            <v>0</v>
          </cell>
          <cell r="AB523" t="b">
            <v>0</v>
          </cell>
          <cell r="AC523" t="b">
            <v>0</v>
          </cell>
          <cell r="AD523" t="b">
            <v>0</v>
          </cell>
          <cell r="AE523" t="b">
            <v>0</v>
          </cell>
          <cell r="AF523" t="str">
            <v/>
          </cell>
        </row>
        <row r="524">
          <cell r="AA524" t="b">
            <v>0</v>
          </cell>
          <cell r="AB524" t="b">
            <v>0</v>
          </cell>
          <cell r="AC524" t="b">
            <v>0</v>
          </cell>
          <cell r="AD524" t="b">
            <v>0</v>
          </cell>
          <cell r="AE524" t="b">
            <v>0</v>
          </cell>
          <cell r="AF524" t="str">
            <v/>
          </cell>
        </row>
        <row r="525">
          <cell r="AA525" t="b">
            <v>0</v>
          </cell>
          <cell r="AB525" t="b">
            <v>0</v>
          </cell>
          <cell r="AC525" t="b">
            <v>0</v>
          </cell>
          <cell r="AD525" t="b">
            <v>0</v>
          </cell>
          <cell r="AE525" t="b">
            <v>0</v>
          </cell>
          <cell r="AF525" t="str">
            <v/>
          </cell>
        </row>
        <row r="526">
          <cell r="AA526" t="b">
            <v>0</v>
          </cell>
          <cell r="AB526" t="b">
            <v>0</v>
          </cell>
          <cell r="AC526" t="b">
            <v>0</v>
          </cell>
          <cell r="AD526" t="b">
            <v>0</v>
          </cell>
          <cell r="AE526" t="b">
            <v>0</v>
          </cell>
          <cell r="AF526" t="str">
            <v/>
          </cell>
        </row>
        <row r="527">
          <cell r="AA527" t="b">
            <v>0</v>
          </cell>
          <cell r="AB527" t="b">
            <v>0</v>
          </cell>
          <cell r="AC527" t="b">
            <v>0</v>
          </cell>
          <cell r="AD527" t="b">
            <v>0</v>
          </cell>
          <cell r="AE527" t="b">
            <v>0</v>
          </cell>
          <cell r="AF527" t="str">
            <v/>
          </cell>
        </row>
        <row r="528">
          <cell r="AA528" t="b">
            <v>0</v>
          </cell>
          <cell r="AB528" t="b">
            <v>0</v>
          </cell>
          <cell r="AC528" t="b">
            <v>0</v>
          </cell>
          <cell r="AD528" t="b">
            <v>0</v>
          </cell>
          <cell r="AE528" t="b">
            <v>0</v>
          </cell>
          <cell r="AF528" t="str">
            <v/>
          </cell>
        </row>
        <row r="529">
          <cell r="AA529" t="b">
            <v>0</v>
          </cell>
          <cell r="AB529" t="b">
            <v>0</v>
          </cell>
          <cell r="AC529" t="b">
            <v>0</v>
          </cell>
          <cell r="AD529" t="b">
            <v>0</v>
          </cell>
          <cell r="AE529" t="b">
            <v>0</v>
          </cell>
          <cell r="AF529" t="str">
            <v/>
          </cell>
        </row>
        <row r="530">
          <cell r="AA530" t="b">
            <v>0</v>
          </cell>
          <cell r="AB530" t="b">
            <v>0</v>
          </cell>
          <cell r="AC530" t="b">
            <v>0</v>
          </cell>
          <cell r="AD530" t="b">
            <v>0</v>
          </cell>
          <cell r="AE530" t="b">
            <v>0</v>
          </cell>
          <cell r="AF530" t="str">
            <v/>
          </cell>
        </row>
        <row r="531">
          <cell r="AA531" t="b">
            <v>0</v>
          </cell>
          <cell r="AB531" t="b">
            <v>0</v>
          </cell>
          <cell r="AC531" t="b">
            <v>0</v>
          </cell>
          <cell r="AD531" t="b">
            <v>0</v>
          </cell>
          <cell r="AE531" t="b">
            <v>0</v>
          </cell>
          <cell r="AF531" t="str">
            <v/>
          </cell>
        </row>
        <row r="532">
          <cell r="AA532" t="b">
            <v>0</v>
          </cell>
          <cell r="AB532" t="b">
            <v>0</v>
          </cell>
          <cell r="AC532" t="b">
            <v>0</v>
          </cell>
          <cell r="AD532" t="b">
            <v>0</v>
          </cell>
          <cell r="AE532" t="b">
            <v>0</v>
          </cell>
          <cell r="AF532" t="str">
            <v/>
          </cell>
        </row>
        <row r="533">
          <cell r="AA533" t="b">
            <v>0</v>
          </cell>
          <cell r="AB533" t="b">
            <v>0</v>
          </cell>
          <cell r="AC533" t="b">
            <v>0</v>
          </cell>
          <cell r="AD533" t="b">
            <v>0</v>
          </cell>
          <cell r="AE533" t="b">
            <v>0</v>
          </cell>
          <cell r="AF533" t="str">
            <v/>
          </cell>
        </row>
        <row r="534">
          <cell r="AA534" t="b">
            <v>0</v>
          </cell>
          <cell r="AB534" t="b">
            <v>0</v>
          </cell>
          <cell r="AC534" t="b">
            <v>0</v>
          </cell>
          <cell r="AD534" t="b">
            <v>0</v>
          </cell>
          <cell r="AE534" t="b">
            <v>0</v>
          </cell>
          <cell r="AF534" t="str">
            <v/>
          </cell>
        </row>
        <row r="535">
          <cell r="AA535" t="b">
            <v>0</v>
          </cell>
          <cell r="AB535" t="b">
            <v>0</v>
          </cell>
          <cell r="AC535" t="b">
            <v>0</v>
          </cell>
          <cell r="AD535" t="b">
            <v>0</v>
          </cell>
          <cell r="AE535" t="b">
            <v>0</v>
          </cell>
          <cell r="AF535" t="str">
            <v/>
          </cell>
        </row>
        <row r="536">
          <cell r="AA536" t="b">
            <v>0</v>
          </cell>
          <cell r="AB536" t="b">
            <v>0</v>
          </cell>
          <cell r="AC536" t="b">
            <v>0</v>
          </cell>
          <cell r="AD536" t="b">
            <v>0</v>
          </cell>
          <cell r="AE536" t="b">
            <v>0</v>
          </cell>
          <cell r="AF536" t="str">
            <v/>
          </cell>
        </row>
        <row r="537">
          <cell r="AA537" t="b">
            <v>0</v>
          </cell>
          <cell r="AB537" t="b">
            <v>0</v>
          </cell>
          <cell r="AC537" t="b">
            <v>0</v>
          </cell>
          <cell r="AD537" t="b">
            <v>0</v>
          </cell>
          <cell r="AE537" t="b">
            <v>0</v>
          </cell>
          <cell r="AF537" t="str">
            <v/>
          </cell>
        </row>
        <row r="538">
          <cell r="AA538" t="b">
            <v>0</v>
          </cell>
          <cell r="AB538" t="b">
            <v>0</v>
          </cell>
          <cell r="AC538" t="b">
            <v>0</v>
          </cell>
          <cell r="AD538" t="b">
            <v>0</v>
          </cell>
          <cell r="AE538" t="b">
            <v>0</v>
          </cell>
          <cell r="AF538" t="str">
            <v/>
          </cell>
        </row>
        <row r="539">
          <cell r="AA539" t="b">
            <v>0</v>
          </cell>
          <cell r="AB539" t="b">
            <v>0</v>
          </cell>
          <cell r="AC539" t="b">
            <v>0</v>
          </cell>
          <cell r="AD539" t="b">
            <v>0</v>
          </cell>
          <cell r="AE539" t="b">
            <v>0</v>
          </cell>
          <cell r="AF539" t="str">
            <v/>
          </cell>
        </row>
        <row r="540">
          <cell r="AA540" t="b">
            <v>0</v>
          </cell>
          <cell r="AB540" t="b">
            <v>0</v>
          </cell>
          <cell r="AC540" t="b">
            <v>0</v>
          </cell>
          <cell r="AD540" t="b">
            <v>0</v>
          </cell>
          <cell r="AE540" t="b">
            <v>0</v>
          </cell>
          <cell r="AF540" t="str">
            <v/>
          </cell>
        </row>
        <row r="541">
          <cell r="AA541" t="b">
            <v>0</v>
          </cell>
          <cell r="AB541" t="b">
            <v>0</v>
          </cell>
          <cell r="AC541" t="b">
            <v>0</v>
          </cell>
          <cell r="AD541" t="b">
            <v>0</v>
          </cell>
          <cell r="AE541" t="b">
            <v>0</v>
          </cell>
          <cell r="AF541" t="str">
            <v/>
          </cell>
        </row>
        <row r="542">
          <cell r="AA542" t="b">
            <v>0</v>
          </cell>
          <cell r="AB542" t="b">
            <v>0</v>
          </cell>
          <cell r="AC542" t="b">
            <v>0</v>
          </cell>
          <cell r="AD542" t="b">
            <v>0</v>
          </cell>
          <cell r="AE542" t="b">
            <v>0</v>
          </cell>
          <cell r="AF542" t="str">
            <v/>
          </cell>
        </row>
        <row r="543">
          <cell r="AA543" t="b">
            <v>0</v>
          </cell>
          <cell r="AB543" t="b">
            <v>0</v>
          </cell>
          <cell r="AC543" t="b">
            <v>0</v>
          </cell>
          <cell r="AD543" t="b">
            <v>0</v>
          </cell>
          <cell r="AE543" t="b">
            <v>0</v>
          </cell>
          <cell r="AF543" t="str">
            <v/>
          </cell>
        </row>
        <row r="544">
          <cell r="AA544" t="b">
            <v>0</v>
          </cell>
          <cell r="AB544" t="b">
            <v>0</v>
          </cell>
          <cell r="AC544" t="b">
            <v>0</v>
          </cell>
          <cell r="AD544" t="b">
            <v>0</v>
          </cell>
          <cell r="AE544" t="b">
            <v>0</v>
          </cell>
          <cell r="AF544" t="str">
            <v/>
          </cell>
        </row>
        <row r="545">
          <cell r="AA545" t="b">
            <v>0</v>
          </cell>
          <cell r="AB545" t="b">
            <v>0</v>
          </cell>
          <cell r="AC545" t="b">
            <v>0</v>
          </cell>
          <cell r="AD545" t="b">
            <v>0</v>
          </cell>
          <cell r="AE545" t="b">
            <v>0</v>
          </cell>
          <cell r="AF545" t="str">
            <v/>
          </cell>
        </row>
        <row r="546">
          <cell r="AA546" t="b">
            <v>0</v>
          </cell>
          <cell r="AB546" t="b">
            <v>0</v>
          </cell>
          <cell r="AC546" t="b">
            <v>0</v>
          </cell>
          <cell r="AD546" t="b">
            <v>0</v>
          </cell>
          <cell r="AE546" t="b">
            <v>0</v>
          </cell>
          <cell r="AF546" t="str">
            <v/>
          </cell>
        </row>
        <row r="547">
          <cell r="AA547" t="b">
            <v>0</v>
          </cell>
          <cell r="AB547" t="b">
            <v>0</v>
          </cell>
          <cell r="AC547" t="b">
            <v>0</v>
          </cell>
          <cell r="AD547" t="b">
            <v>0</v>
          </cell>
          <cell r="AE547" t="b">
            <v>0</v>
          </cell>
          <cell r="AF547" t="str">
            <v/>
          </cell>
        </row>
        <row r="548">
          <cell r="AA548" t="b">
            <v>0</v>
          </cell>
          <cell r="AB548" t="b">
            <v>0</v>
          </cell>
          <cell r="AC548" t="b">
            <v>0</v>
          </cell>
          <cell r="AD548" t="b">
            <v>0</v>
          </cell>
          <cell r="AE548" t="b">
            <v>0</v>
          </cell>
          <cell r="AF548" t="str">
            <v/>
          </cell>
        </row>
        <row r="549">
          <cell r="AA549" t="b">
            <v>0</v>
          </cell>
          <cell r="AB549" t="b">
            <v>0</v>
          </cell>
          <cell r="AC549" t="b">
            <v>0</v>
          </cell>
          <cell r="AD549" t="b">
            <v>0</v>
          </cell>
          <cell r="AE549" t="b">
            <v>0</v>
          </cell>
          <cell r="AF549" t="str">
            <v/>
          </cell>
        </row>
        <row r="550">
          <cell r="AA550" t="b">
            <v>0</v>
          </cell>
          <cell r="AB550" t="b">
            <v>0</v>
          </cell>
          <cell r="AC550" t="b">
            <v>0</v>
          </cell>
          <cell r="AD550" t="b">
            <v>0</v>
          </cell>
          <cell r="AE550" t="b">
            <v>0</v>
          </cell>
          <cell r="AF550" t="str">
            <v/>
          </cell>
        </row>
        <row r="551">
          <cell r="AA551" t="b">
            <v>0</v>
          </cell>
          <cell r="AB551" t="b">
            <v>0</v>
          </cell>
          <cell r="AC551" t="b">
            <v>0</v>
          </cell>
          <cell r="AD551" t="b">
            <v>0</v>
          </cell>
          <cell r="AE551" t="b">
            <v>0</v>
          </cell>
          <cell r="AF551" t="str">
            <v/>
          </cell>
        </row>
        <row r="552">
          <cell r="AA552" t="b">
            <v>0</v>
          </cell>
          <cell r="AB552" t="b">
            <v>0</v>
          </cell>
          <cell r="AC552" t="b">
            <v>0</v>
          </cell>
          <cell r="AD552" t="b">
            <v>0</v>
          </cell>
          <cell r="AE552" t="b">
            <v>0</v>
          </cell>
          <cell r="AF552" t="str">
            <v/>
          </cell>
        </row>
        <row r="553">
          <cell r="AA553" t="b">
            <v>0</v>
          </cell>
          <cell r="AB553" t="b">
            <v>0</v>
          </cell>
          <cell r="AC553" t="b">
            <v>0</v>
          </cell>
          <cell r="AD553" t="b">
            <v>0</v>
          </cell>
          <cell r="AE553" t="b">
            <v>0</v>
          </cell>
          <cell r="AF553" t="str">
            <v/>
          </cell>
        </row>
        <row r="554">
          <cell r="AA554" t="b">
            <v>0</v>
          </cell>
          <cell r="AB554" t="b">
            <v>0</v>
          </cell>
          <cell r="AC554" t="b">
            <v>0</v>
          </cell>
          <cell r="AD554" t="b">
            <v>0</v>
          </cell>
          <cell r="AE554" t="b">
            <v>0</v>
          </cell>
          <cell r="AF554" t="str">
            <v/>
          </cell>
        </row>
        <row r="555">
          <cell r="AA555" t="b">
            <v>0</v>
          </cell>
          <cell r="AB555" t="b">
            <v>0</v>
          </cell>
          <cell r="AC555" t="b">
            <v>0</v>
          </cell>
          <cell r="AD555" t="b">
            <v>0</v>
          </cell>
          <cell r="AE555" t="b">
            <v>0</v>
          </cell>
          <cell r="AF555" t="str">
            <v/>
          </cell>
        </row>
        <row r="556">
          <cell r="AA556" t="b">
            <v>0</v>
          </cell>
          <cell r="AB556" t="b">
            <v>0</v>
          </cell>
          <cell r="AC556" t="b">
            <v>0</v>
          </cell>
          <cell r="AD556" t="b">
            <v>0</v>
          </cell>
          <cell r="AE556" t="b">
            <v>0</v>
          </cell>
          <cell r="AF556" t="str">
            <v/>
          </cell>
        </row>
        <row r="557">
          <cell r="AA557" t="b">
            <v>0</v>
          </cell>
          <cell r="AB557" t="b">
            <v>0</v>
          </cell>
          <cell r="AC557" t="b">
            <v>0</v>
          </cell>
          <cell r="AD557" t="b">
            <v>0</v>
          </cell>
          <cell r="AE557" t="b">
            <v>0</v>
          </cell>
          <cell r="AF557" t="str">
            <v/>
          </cell>
        </row>
        <row r="558">
          <cell r="AA558" t="b">
            <v>0</v>
          </cell>
          <cell r="AB558" t="b">
            <v>0</v>
          </cell>
          <cell r="AC558" t="b">
            <v>0</v>
          </cell>
          <cell r="AD558" t="b">
            <v>0</v>
          </cell>
          <cell r="AE558" t="b">
            <v>0</v>
          </cell>
          <cell r="AF558" t="str">
            <v/>
          </cell>
        </row>
        <row r="559">
          <cell r="AA559" t="b">
            <v>0</v>
          </cell>
          <cell r="AB559" t="b">
            <v>0</v>
          </cell>
          <cell r="AC559" t="b">
            <v>0</v>
          </cell>
          <cell r="AD559" t="b">
            <v>0</v>
          </cell>
          <cell r="AE559" t="b">
            <v>0</v>
          </cell>
          <cell r="AF559" t="str">
            <v/>
          </cell>
        </row>
        <row r="560">
          <cell r="AA560" t="b">
            <v>0</v>
          </cell>
          <cell r="AB560" t="b">
            <v>0</v>
          </cell>
          <cell r="AC560" t="b">
            <v>0</v>
          </cell>
          <cell r="AD560" t="b">
            <v>0</v>
          </cell>
          <cell r="AE560" t="b">
            <v>0</v>
          </cell>
          <cell r="AF560" t="str">
            <v/>
          </cell>
        </row>
        <row r="561">
          <cell r="AA561" t="b">
            <v>0</v>
          </cell>
          <cell r="AB561" t="b">
            <v>0</v>
          </cell>
          <cell r="AC561" t="b">
            <v>0</v>
          </cell>
          <cell r="AD561" t="b">
            <v>0</v>
          </cell>
          <cell r="AE561" t="b">
            <v>0</v>
          </cell>
          <cell r="AF561" t="str">
            <v/>
          </cell>
        </row>
        <row r="562">
          <cell r="AA562" t="b">
            <v>0</v>
          </cell>
          <cell r="AB562" t="b">
            <v>0</v>
          </cell>
          <cell r="AC562" t="b">
            <v>0</v>
          </cell>
          <cell r="AD562" t="b">
            <v>0</v>
          </cell>
          <cell r="AE562" t="b">
            <v>0</v>
          </cell>
          <cell r="AF562" t="str">
            <v/>
          </cell>
        </row>
        <row r="563">
          <cell r="AA563" t="b">
            <v>0</v>
          </cell>
          <cell r="AB563" t="b">
            <v>0</v>
          </cell>
          <cell r="AC563" t="b">
            <v>0</v>
          </cell>
          <cell r="AD563" t="b">
            <v>0</v>
          </cell>
          <cell r="AE563" t="b">
            <v>0</v>
          </cell>
          <cell r="AF563" t="str">
            <v/>
          </cell>
        </row>
        <row r="564">
          <cell r="AA564" t="b">
            <v>0</v>
          </cell>
          <cell r="AB564" t="b">
            <v>0</v>
          </cell>
          <cell r="AC564" t="b">
            <v>0</v>
          </cell>
          <cell r="AD564" t="b">
            <v>0</v>
          </cell>
          <cell r="AE564" t="b">
            <v>0</v>
          </cell>
          <cell r="AF564" t="str">
            <v/>
          </cell>
        </row>
        <row r="565">
          <cell r="AA565" t="b">
            <v>0</v>
          </cell>
          <cell r="AB565" t="b">
            <v>0</v>
          </cell>
          <cell r="AC565" t="b">
            <v>0</v>
          </cell>
          <cell r="AD565" t="b">
            <v>0</v>
          </cell>
          <cell r="AE565" t="b">
            <v>0</v>
          </cell>
          <cell r="AF565" t="str">
            <v/>
          </cell>
        </row>
        <row r="566">
          <cell r="AA566" t="b">
            <v>0</v>
          </cell>
          <cell r="AB566" t="b">
            <v>0</v>
          </cell>
          <cell r="AC566" t="b">
            <v>0</v>
          </cell>
          <cell r="AD566" t="b">
            <v>0</v>
          </cell>
          <cell r="AE566" t="b">
            <v>0</v>
          </cell>
          <cell r="AF566" t="str">
            <v/>
          </cell>
        </row>
        <row r="567">
          <cell r="AA567" t="b">
            <v>0</v>
          </cell>
          <cell r="AB567" t="b">
            <v>0</v>
          </cell>
          <cell r="AC567" t="b">
            <v>0</v>
          </cell>
          <cell r="AD567" t="b">
            <v>0</v>
          </cell>
          <cell r="AE567" t="b">
            <v>0</v>
          </cell>
          <cell r="AF567" t="str">
            <v/>
          </cell>
        </row>
        <row r="568">
          <cell r="AA568" t="b">
            <v>0</v>
          </cell>
          <cell r="AB568" t="b">
            <v>0</v>
          </cell>
          <cell r="AC568" t="b">
            <v>0</v>
          </cell>
          <cell r="AD568" t="b">
            <v>0</v>
          </cell>
          <cell r="AE568" t="b">
            <v>0</v>
          </cell>
          <cell r="AF568" t="str">
            <v/>
          </cell>
        </row>
        <row r="569">
          <cell r="AA569" t="b">
            <v>0</v>
          </cell>
          <cell r="AB569" t="b">
            <v>0</v>
          </cell>
          <cell r="AC569" t="b">
            <v>0</v>
          </cell>
          <cell r="AD569" t="b">
            <v>0</v>
          </cell>
          <cell r="AE569" t="b">
            <v>0</v>
          </cell>
          <cell r="AF569" t="str">
            <v/>
          </cell>
        </row>
        <row r="570">
          <cell r="AA570" t="b">
            <v>0</v>
          </cell>
          <cell r="AB570" t="b">
            <v>0</v>
          </cell>
          <cell r="AC570" t="b">
            <v>0</v>
          </cell>
          <cell r="AD570" t="b">
            <v>0</v>
          </cell>
          <cell r="AE570" t="b">
            <v>0</v>
          </cell>
          <cell r="AF570" t="str">
            <v/>
          </cell>
        </row>
        <row r="571">
          <cell r="AA571" t="b">
            <v>0</v>
          </cell>
          <cell r="AB571" t="b">
            <v>0</v>
          </cell>
          <cell r="AC571" t="b">
            <v>0</v>
          </cell>
          <cell r="AD571" t="b">
            <v>0</v>
          </cell>
          <cell r="AE571" t="b">
            <v>0</v>
          </cell>
          <cell r="AF571" t="str">
            <v/>
          </cell>
        </row>
        <row r="572">
          <cell r="AA572" t="b">
            <v>0</v>
          </cell>
          <cell r="AB572" t="b">
            <v>0</v>
          </cell>
          <cell r="AC572" t="b">
            <v>0</v>
          </cell>
          <cell r="AD572" t="b">
            <v>0</v>
          </cell>
          <cell r="AE572" t="b">
            <v>0</v>
          </cell>
          <cell r="AF572" t="str">
            <v/>
          </cell>
        </row>
        <row r="573">
          <cell r="AA573" t="b">
            <v>0</v>
          </cell>
          <cell r="AB573" t="b">
            <v>0</v>
          </cell>
          <cell r="AC573" t="b">
            <v>0</v>
          </cell>
          <cell r="AD573" t="b">
            <v>0</v>
          </cell>
          <cell r="AE573" t="b">
            <v>0</v>
          </cell>
          <cell r="AF573" t="str">
            <v/>
          </cell>
        </row>
        <row r="574">
          <cell r="AA574" t="b">
            <v>0</v>
          </cell>
          <cell r="AB574" t="b">
            <v>0</v>
          </cell>
          <cell r="AC574" t="b">
            <v>0</v>
          </cell>
          <cell r="AD574" t="b">
            <v>0</v>
          </cell>
          <cell r="AE574" t="b">
            <v>0</v>
          </cell>
          <cell r="AF574" t="str">
            <v/>
          </cell>
        </row>
        <row r="575">
          <cell r="AA575" t="b">
            <v>0</v>
          </cell>
          <cell r="AB575" t="b">
            <v>0</v>
          </cell>
          <cell r="AC575" t="b">
            <v>0</v>
          </cell>
          <cell r="AD575" t="b">
            <v>0</v>
          </cell>
          <cell r="AE575" t="b">
            <v>0</v>
          </cell>
          <cell r="AF575" t="str">
            <v/>
          </cell>
        </row>
        <row r="576">
          <cell r="AA576" t="b">
            <v>0</v>
          </cell>
          <cell r="AB576" t="b">
            <v>0</v>
          </cell>
          <cell r="AC576" t="b">
            <v>0</v>
          </cell>
          <cell r="AD576" t="b">
            <v>0</v>
          </cell>
          <cell r="AE576" t="b">
            <v>0</v>
          </cell>
          <cell r="AF576" t="str">
            <v/>
          </cell>
        </row>
        <row r="577">
          <cell r="AA577" t="b">
            <v>0</v>
          </cell>
          <cell r="AB577" t="b">
            <v>0</v>
          </cell>
          <cell r="AC577" t="b">
            <v>0</v>
          </cell>
          <cell r="AD577" t="b">
            <v>0</v>
          </cell>
          <cell r="AE577" t="b">
            <v>0</v>
          </cell>
          <cell r="AF577" t="str">
            <v/>
          </cell>
        </row>
        <row r="578">
          <cell r="AA578" t="b">
            <v>0</v>
          </cell>
          <cell r="AB578" t="b">
            <v>0</v>
          </cell>
          <cell r="AC578" t="b">
            <v>0</v>
          </cell>
          <cell r="AD578" t="b">
            <v>0</v>
          </cell>
          <cell r="AE578" t="b">
            <v>0</v>
          </cell>
          <cell r="AF578" t="str">
            <v/>
          </cell>
        </row>
        <row r="579">
          <cell r="AA579" t="b">
            <v>0</v>
          </cell>
          <cell r="AB579" t="b">
            <v>0</v>
          </cell>
          <cell r="AC579" t="b">
            <v>0</v>
          </cell>
          <cell r="AD579" t="b">
            <v>0</v>
          </cell>
          <cell r="AE579" t="b">
            <v>0</v>
          </cell>
          <cell r="AF579" t="str">
            <v/>
          </cell>
        </row>
        <row r="580">
          <cell r="AA580" t="b">
            <v>0</v>
          </cell>
          <cell r="AB580" t="b">
            <v>0</v>
          </cell>
          <cell r="AC580" t="b">
            <v>0</v>
          </cell>
          <cell r="AD580" t="b">
            <v>0</v>
          </cell>
          <cell r="AE580" t="b">
            <v>0</v>
          </cell>
          <cell r="AF580" t="str">
            <v/>
          </cell>
        </row>
        <row r="581">
          <cell r="AA581" t="b">
            <v>0</v>
          </cell>
          <cell r="AB581" t="b">
            <v>0</v>
          </cell>
          <cell r="AC581" t="b">
            <v>0</v>
          </cell>
          <cell r="AD581" t="b">
            <v>0</v>
          </cell>
          <cell r="AE581" t="b">
            <v>0</v>
          </cell>
          <cell r="AF581" t="str">
            <v/>
          </cell>
        </row>
        <row r="582">
          <cell r="AA582" t="b">
            <v>0</v>
          </cell>
          <cell r="AB582" t="b">
            <v>0</v>
          </cell>
          <cell r="AC582" t="b">
            <v>0</v>
          </cell>
          <cell r="AD582" t="b">
            <v>0</v>
          </cell>
          <cell r="AE582" t="b">
            <v>0</v>
          </cell>
          <cell r="AF582" t="str">
            <v/>
          </cell>
        </row>
        <row r="583">
          <cell r="AA583" t="b">
            <v>0</v>
          </cell>
          <cell r="AB583" t="b">
            <v>0</v>
          </cell>
          <cell r="AC583" t="b">
            <v>0</v>
          </cell>
          <cell r="AD583" t="b">
            <v>0</v>
          </cell>
          <cell r="AE583" t="b">
            <v>0</v>
          </cell>
          <cell r="AF583" t="str">
            <v/>
          </cell>
        </row>
        <row r="584">
          <cell r="AA584" t="b">
            <v>0</v>
          </cell>
          <cell r="AB584" t="b">
            <v>0</v>
          </cell>
          <cell r="AC584" t="b">
            <v>0</v>
          </cell>
          <cell r="AD584" t="b">
            <v>0</v>
          </cell>
          <cell r="AE584" t="b">
            <v>0</v>
          </cell>
          <cell r="AF584" t="str">
            <v/>
          </cell>
        </row>
        <row r="585">
          <cell r="AA585" t="b">
            <v>0</v>
          </cell>
          <cell r="AB585" t="b">
            <v>0</v>
          </cell>
          <cell r="AC585" t="b">
            <v>0</v>
          </cell>
          <cell r="AD585" t="b">
            <v>0</v>
          </cell>
          <cell r="AE585" t="b">
            <v>0</v>
          </cell>
          <cell r="AF585" t="str">
            <v/>
          </cell>
        </row>
        <row r="586">
          <cell r="AA586" t="b">
            <v>0</v>
          </cell>
          <cell r="AB586" t="b">
            <v>0</v>
          </cell>
          <cell r="AC586" t="b">
            <v>0</v>
          </cell>
          <cell r="AD586" t="b">
            <v>0</v>
          </cell>
          <cell r="AE586" t="b">
            <v>0</v>
          </cell>
          <cell r="AF586" t="str">
            <v/>
          </cell>
        </row>
        <row r="587">
          <cell r="AA587" t="b">
            <v>0</v>
          </cell>
          <cell r="AB587" t="b">
            <v>0</v>
          </cell>
          <cell r="AC587" t="b">
            <v>0</v>
          </cell>
          <cell r="AD587" t="b">
            <v>0</v>
          </cell>
          <cell r="AE587" t="b">
            <v>0</v>
          </cell>
          <cell r="AF587" t="str">
            <v/>
          </cell>
        </row>
        <row r="588">
          <cell r="AA588" t="b">
            <v>0</v>
          </cell>
          <cell r="AB588" t="b">
            <v>0</v>
          </cell>
          <cell r="AC588" t="b">
            <v>0</v>
          </cell>
          <cell r="AD588" t="b">
            <v>0</v>
          </cell>
          <cell r="AE588" t="b">
            <v>0</v>
          </cell>
          <cell r="AF588" t="str">
            <v/>
          </cell>
        </row>
        <row r="589">
          <cell r="AA589" t="b">
            <v>0</v>
          </cell>
          <cell r="AB589" t="b">
            <v>0</v>
          </cell>
          <cell r="AC589" t="b">
            <v>0</v>
          </cell>
          <cell r="AD589" t="b">
            <v>0</v>
          </cell>
          <cell r="AE589" t="b">
            <v>0</v>
          </cell>
          <cell r="AF589" t="str">
            <v/>
          </cell>
        </row>
        <row r="590">
          <cell r="AA590" t="b">
            <v>0</v>
          </cell>
          <cell r="AB590" t="b">
            <v>0</v>
          </cell>
          <cell r="AC590" t="b">
            <v>0</v>
          </cell>
          <cell r="AD590" t="b">
            <v>0</v>
          </cell>
          <cell r="AE590" t="b">
            <v>0</v>
          </cell>
          <cell r="AF590" t="str">
            <v/>
          </cell>
        </row>
        <row r="591">
          <cell r="AA591" t="b">
            <v>0</v>
          </cell>
          <cell r="AB591" t="b">
            <v>0</v>
          </cell>
          <cell r="AC591" t="b">
            <v>0</v>
          </cell>
          <cell r="AD591" t="b">
            <v>0</v>
          </cell>
          <cell r="AE591" t="b">
            <v>0</v>
          </cell>
          <cell r="AF591" t="str">
            <v/>
          </cell>
        </row>
        <row r="592">
          <cell r="AA592" t="b">
            <v>0</v>
          </cell>
          <cell r="AB592" t="b">
            <v>0</v>
          </cell>
          <cell r="AC592" t="b">
            <v>0</v>
          </cell>
          <cell r="AD592" t="b">
            <v>0</v>
          </cell>
          <cell r="AE592" t="b">
            <v>0</v>
          </cell>
          <cell r="AF592" t="str">
            <v/>
          </cell>
        </row>
        <row r="593">
          <cell r="AA593" t="b">
            <v>0</v>
          </cell>
          <cell r="AB593" t="b">
            <v>0</v>
          </cell>
          <cell r="AC593" t="b">
            <v>0</v>
          </cell>
          <cell r="AD593" t="b">
            <v>0</v>
          </cell>
          <cell r="AE593" t="b">
            <v>0</v>
          </cell>
          <cell r="AF593" t="str">
            <v/>
          </cell>
        </row>
        <row r="594">
          <cell r="AA594" t="b">
            <v>0</v>
          </cell>
          <cell r="AB594" t="b">
            <v>0</v>
          </cell>
          <cell r="AC594" t="b">
            <v>0</v>
          </cell>
          <cell r="AD594" t="b">
            <v>0</v>
          </cell>
          <cell r="AE594" t="b">
            <v>0</v>
          </cell>
          <cell r="AF594" t="str">
            <v/>
          </cell>
        </row>
        <row r="595">
          <cell r="AA595" t="b">
            <v>0</v>
          </cell>
          <cell r="AB595" t="b">
            <v>0</v>
          </cell>
          <cell r="AC595" t="b">
            <v>0</v>
          </cell>
          <cell r="AD595" t="b">
            <v>0</v>
          </cell>
          <cell r="AE595" t="b">
            <v>0</v>
          </cell>
          <cell r="AF595" t="str">
            <v/>
          </cell>
        </row>
        <row r="596">
          <cell r="AA596" t="b">
            <v>0</v>
          </cell>
          <cell r="AB596" t="b">
            <v>0</v>
          </cell>
          <cell r="AC596" t="b">
            <v>0</v>
          </cell>
          <cell r="AD596" t="b">
            <v>0</v>
          </cell>
          <cell r="AE596" t="b">
            <v>0</v>
          </cell>
          <cell r="AF596" t="str">
            <v/>
          </cell>
        </row>
        <row r="597">
          <cell r="AA597" t="b">
            <v>0</v>
          </cell>
          <cell r="AB597" t="b">
            <v>0</v>
          </cell>
          <cell r="AC597" t="b">
            <v>0</v>
          </cell>
          <cell r="AD597" t="b">
            <v>0</v>
          </cell>
          <cell r="AE597" t="b">
            <v>0</v>
          </cell>
          <cell r="AF597" t="str">
            <v/>
          </cell>
        </row>
        <row r="598">
          <cell r="AA598" t="b">
            <v>0</v>
          </cell>
          <cell r="AB598" t="b">
            <v>0</v>
          </cell>
          <cell r="AC598" t="b">
            <v>0</v>
          </cell>
          <cell r="AD598" t="b">
            <v>0</v>
          </cell>
          <cell r="AE598" t="b">
            <v>0</v>
          </cell>
          <cell r="AF598" t="str">
            <v/>
          </cell>
        </row>
        <row r="599">
          <cell r="AA599" t="b">
            <v>0</v>
          </cell>
          <cell r="AB599" t="b">
            <v>0</v>
          </cell>
          <cell r="AC599" t="b">
            <v>0</v>
          </cell>
          <cell r="AD599" t="b">
            <v>0</v>
          </cell>
          <cell r="AE599" t="b">
            <v>0</v>
          </cell>
          <cell r="AF599" t="str">
            <v/>
          </cell>
        </row>
        <row r="600">
          <cell r="AA600" t="b">
            <v>0</v>
          </cell>
          <cell r="AB600" t="b">
            <v>0</v>
          </cell>
          <cell r="AC600" t="b">
            <v>0</v>
          </cell>
          <cell r="AD600" t="b">
            <v>0</v>
          </cell>
          <cell r="AE600" t="b">
            <v>0</v>
          </cell>
          <cell r="AF600" t="str">
            <v/>
          </cell>
        </row>
        <row r="601">
          <cell r="AA601" t="b">
            <v>0</v>
          </cell>
          <cell r="AB601" t="b">
            <v>0</v>
          </cell>
          <cell r="AC601" t="b">
            <v>0</v>
          </cell>
          <cell r="AD601" t="b">
            <v>0</v>
          </cell>
          <cell r="AE601" t="b">
            <v>0</v>
          </cell>
          <cell r="AF601" t="str">
            <v/>
          </cell>
        </row>
        <row r="602">
          <cell r="AA602" t="b">
            <v>0</v>
          </cell>
          <cell r="AB602" t="b">
            <v>0</v>
          </cell>
          <cell r="AC602" t="b">
            <v>0</v>
          </cell>
          <cell r="AD602" t="b">
            <v>0</v>
          </cell>
          <cell r="AE602" t="b">
            <v>0</v>
          </cell>
          <cell r="AF602" t="str">
            <v/>
          </cell>
        </row>
        <row r="603">
          <cell r="AA603" t="b">
            <v>0</v>
          </cell>
          <cell r="AB603" t="b">
            <v>0</v>
          </cell>
          <cell r="AC603" t="b">
            <v>0</v>
          </cell>
          <cell r="AD603" t="b">
            <v>0</v>
          </cell>
          <cell r="AE603" t="b">
            <v>0</v>
          </cell>
          <cell r="AF603" t="str">
            <v/>
          </cell>
        </row>
        <row r="604">
          <cell r="AA604" t="b">
            <v>0</v>
          </cell>
          <cell r="AB604" t="b">
            <v>0</v>
          </cell>
          <cell r="AC604" t="b">
            <v>0</v>
          </cell>
          <cell r="AD604" t="b">
            <v>0</v>
          </cell>
          <cell r="AE604" t="b">
            <v>0</v>
          </cell>
          <cell r="AF604" t="str">
            <v/>
          </cell>
        </row>
        <row r="605">
          <cell r="AA605" t="b">
            <v>0</v>
          </cell>
          <cell r="AB605" t="b">
            <v>0</v>
          </cell>
          <cell r="AC605" t="b">
            <v>0</v>
          </cell>
          <cell r="AD605" t="b">
            <v>0</v>
          </cell>
          <cell r="AE605" t="b">
            <v>0</v>
          </cell>
          <cell r="AF605" t="str">
            <v/>
          </cell>
        </row>
        <row r="606">
          <cell r="AA606" t="b">
            <v>0</v>
          </cell>
          <cell r="AB606" t="b">
            <v>0</v>
          </cell>
          <cell r="AC606" t="b">
            <v>0</v>
          </cell>
          <cell r="AD606" t="b">
            <v>0</v>
          </cell>
          <cell r="AE606" t="b">
            <v>0</v>
          </cell>
          <cell r="AF606" t="str">
            <v/>
          </cell>
        </row>
        <row r="607">
          <cell r="AA607" t="b">
            <v>0</v>
          </cell>
          <cell r="AB607" t="b">
            <v>0</v>
          </cell>
          <cell r="AC607" t="b">
            <v>0</v>
          </cell>
          <cell r="AD607" t="b">
            <v>0</v>
          </cell>
          <cell r="AE607" t="b">
            <v>0</v>
          </cell>
          <cell r="AF607" t="str">
            <v/>
          </cell>
        </row>
        <row r="608">
          <cell r="AA608" t="b">
            <v>0</v>
          </cell>
          <cell r="AB608" t="b">
            <v>0</v>
          </cell>
          <cell r="AC608" t="b">
            <v>0</v>
          </cell>
          <cell r="AD608" t="b">
            <v>0</v>
          </cell>
          <cell r="AE608" t="b">
            <v>0</v>
          </cell>
          <cell r="AF608" t="str">
            <v/>
          </cell>
        </row>
        <row r="609">
          <cell r="AA609" t="b">
            <v>0</v>
          </cell>
          <cell r="AB609" t="b">
            <v>0</v>
          </cell>
          <cell r="AC609" t="b">
            <v>0</v>
          </cell>
          <cell r="AD609" t="b">
            <v>0</v>
          </cell>
          <cell r="AE609" t="b">
            <v>0</v>
          </cell>
          <cell r="AF609" t="str">
            <v/>
          </cell>
        </row>
        <row r="610">
          <cell r="AA610" t="b">
            <v>0</v>
          </cell>
          <cell r="AB610" t="b">
            <v>0</v>
          </cell>
          <cell r="AC610" t="b">
            <v>0</v>
          </cell>
          <cell r="AD610" t="b">
            <v>0</v>
          </cell>
          <cell r="AE610" t="b">
            <v>0</v>
          </cell>
          <cell r="AF610" t="str">
            <v/>
          </cell>
        </row>
        <row r="611">
          <cell r="AA611" t="b">
            <v>0</v>
          </cell>
          <cell r="AB611" t="b">
            <v>0</v>
          </cell>
          <cell r="AC611" t="b">
            <v>0</v>
          </cell>
          <cell r="AD611" t="b">
            <v>0</v>
          </cell>
          <cell r="AE611" t="b">
            <v>0</v>
          </cell>
          <cell r="AF611" t="str">
            <v/>
          </cell>
        </row>
        <row r="612">
          <cell r="AA612" t="b">
            <v>0</v>
          </cell>
          <cell r="AB612" t="b">
            <v>0</v>
          </cell>
          <cell r="AC612" t="b">
            <v>0</v>
          </cell>
          <cell r="AD612" t="b">
            <v>0</v>
          </cell>
          <cell r="AE612" t="b">
            <v>0</v>
          </cell>
          <cell r="AF612" t="str">
            <v/>
          </cell>
        </row>
        <row r="613">
          <cell r="AA613" t="b">
            <v>0</v>
          </cell>
          <cell r="AB613" t="b">
            <v>0</v>
          </cell>
          <cell r="AC613" t="b">
            <v>0</v>
          </cell>
          <cell r="AD613" t="b">
            <v>0</v>
          </cell>
          <cell r="AE613" t="b">
            <v>0</v>
          </cell>
          <cell r="AF613" t="str">
            <v/>
          </cell>
        </row>
        <row r="614">
          <cell r="AA614" t="b">
            <v>0</v>
          </cell>
          <cell r="AB614" t="b">
            <v>0</v>
          </cell>
          <cell r="AC614" t="b">
            <v>0</v>
          </cell>
          <cell r="AD614" t="b">
            <v>0</v>
          </cell>
          <cell r="AE614" t="b">
            <v>0</v>
          </cell>
          <cell r="AF614" t="str">
            <v/>
          </cell>
        </row>
        <row r="615">
          <cell r="AA615" t="b">
            <v>0</v>
          </cell>
          <cell r="AB615" t="b">
            <v>0</v>
          </cell>
          <cell r="AC615" t="b">
            <v>0</v>
          </cell>
          <cell r="AD615" t="b">
            <v>0</v>
          </cell>
          <cell r="AE615" t="b">
            <v>0</v>
          </cell>
          <cell r="AF615" t="str">
            <v/>
          </cell>
        </row>
        <row r="616">
          <cell r="AA616" t="b">
            <v>0</v>
          </cell>
          <cell r="AB616" t="b">
            <v>0</v>
          </cell>
          <cell r="AC616" t="b">
            <v>0</v>
          </cell>
          <cell r="AD616" t="b">
            <v>0</v>
          </cell>
          <cell r="AE616" t="b">
            <v>0</v>
          </cell>
          <cell r="AF616" t="str">
            <v/>
          </cell>
        </row>
        <row r="617">
          <cell r="AA617" t="b">
            <v>0</v>
          </cell>
          <cell r="AB617" t="b">
            <v>0</v>
          </cell>
          <cell r="AC617" t="b">
            <v>0</v>
          </cell>
          <cell r="AD617" t="b">
            <v>0</v>
          </cell>
          <cell r="AE617" t="b">
            <v>0</v>
          </cell>
          <cell r="AF617" t="str">
            <v/>
          </cell>
        </row>
        <row r="618">
          <cell r="AA618" t="b">
            <v>0</v>
          </cell>
          <cell r="AB618" t="b">
            <v>0</v>
          </cell>
          <cell r="AC618" t="b">
            <v>0</v>
          </cell>
          <cell r="AD618" t="b">
            <v>0</v>
          </cell>
          <cell r="AE618" t="b">
            <v>0</v>
          </cell>
          <cell r="AF618" t="str">
            <v/>
          </cell>
        </row>
        <row r="619">
          <cell r="AA619" t="b">
            <v>0</v>
          </cell>
          <cell r="AB619" t="b">
            <v>0</v>
          </cell>
          <cell r="AC619" t="b">
            <v>0</v>
          </cell>
          <cell r="AD619" t="b">
            <v>0</v>
          </cell>
          <cell r="AE619" t="b">
            <v>0</v>
          </cell>
          <cell r="AF619" t="str">
            <v/>
          </cell>
        </row>
        <row r="620">
          <cell r="AA620" t="b">
            <v>0</v>
          </cell>
          <cell r="AB620" t="b">
            <v>0</v>
          </cell>
          <cell r="AC620" t="b">
            <v>0</v>
          </cell>
          <cell r="AD620" t="b">
            <v>0</v>
          </cell>
          <cell r="AE620" t="b">
            <v>0</v>
          </cell>
          <cell r="AF620" t="str">
            <v/>
          </cell>
        </row>
        <row r="621">
          <cell r="AA621" t="b">
            <v>0</v>
          </cell>
          <cell r="AB621" t="b">
            <v>0</v>
          </cell>
          <cell r="AC621" t="b">
            <v>0</v>
          </cell>
          <cell r="AD621" t="b">
            <v>0</v>
          </cell>
          <cell r="AE621" t="b">
            <v>0</v>
          </cell>
          <cell r="AF621" t="str">
            <v/>
          </cell>
        </row>
        <row r="622">
          <cell r="AA622" t="b">
            <v>0</v>
          </cell>
          <cell r="AB622" t="b">
            <v>0</v>
          </cell>
          <cell r="AC622" t="b">
            <v>0</v>
          </cell>
          <cell r="AD622" t="b">
            <v>0</v>
          </cell>
          <cell r="AE622" t="b">
            <v>0</v>
          </cell>
          <cell r="AF622" t="str">
            <v/>
          </cell>
        </row>
        <row r="623">
          <cell r="AA623" t="b">
            <v>0</v>
          </cell>
          <cell r="AB623" t="b">
            <v>0</v>
          </cell>
          <cell r="AC623" t="b">
            <v>0</v>
          </cell>
          <cell r="AD623" t="b">
            <v>0</v>
          </cell>
          <cell r="AE623" t="b">
            <v>0</v>
          </cell>
          <cell r="AF623" t="str">
            <v/>
          </cell>
        </row>
        <row r="624">
          <cell r="AA624" t="b">
            <v>0</v>
          </cell>
          <cell r="AB624" t="b">
            <v>0</v>
          </cell>
          <cell r="AC624" t="b">
            <v>0</v>
          </cell>
          <cell r="AD624" t="b">
            <v>0</v>
          </cell>
          <cell r="AE624" t="b">
            <v>0</v>
          </cell>
          <cell r="AF624" t="str">
            <v/>
          </cell>
        </row>
        <row r="625">
          <cell r="AA625" t="b">
            <v>0</v>
          </cell>
          <cell r="AB625" t="b">
            <v>0</v>
          </cell>
          <cell r="AC625" t="b">
            <v>0</v>
          </cell>
          <cell r="AD625" t="b">
            <v>0</v>
          </cell>
          <cell r="AE625" t="b">
            <v>0</v>
          </cell>
          <cell r="AF625" t="str">
            <v/>
          </cell>
        </row>
        <row r="626">
          <cell r="AA626" t="b">
            <v>0</v>
          </cell>
          <cell r="AB626" t="b">
            <v>0</v>
          </cell>
          <cell r="AC626" t="b">
            <v>0</v>
          </cell>
          <cell r="AD626" t="b">
            <v>0</v>
          </cell>
          <cell r="AE626" t="b">
            <v>0</v>
          </cell>
          <cell r="AF626" t="str">
            <v/>
          </cell>
        </row>
        <row r="627">
          <cell r="AA627" t="b">
            <v>0</v>
          </cell>
          <cell r="AB627" t="b">
            <v>0</v>
          </cell>
          <cell r="AC627" t="b">
            <v>0</v>
          </cell>
          <cell r="AD627" t="b">
            <v>0</v>
          </cell>
          <cell r="AE627" t="b">
            <v>0</v>
          </cell>
          <cell r="AF627" t="str">
            <v/>
          </cell>
        </row>
        <row r="628">
          <cell r="AA628" t="b">
            <v>0</v>
          </cell>
          <cell r="AB628" t="b">
            <v>0</v>
          </cell>
          <cell r="AC628" t="b">
            <v>0</v>
          </cell>
          <cell r="AD628" t="b">
            <v>0</v>
          </cell>
          <cell r="AE628" t="b">
            <v>0</v>
          </cell>
          <cell r="AF628" t="str">
            <v/>
          </cell>
        </row>
        <row r="629">
          <cell r="AA629" t="b">
            <v>0</v>
          </cell>
          <cell r="AB629" t="b">
            <v>0</v>
          </cell>
          <cell r="AC629" t="b">
            <v>0</v>
          </cell>
          <cell r="AD629" t="b">
            <v>0</v>
          </cell>
          <cell r="AE629" t="b">
            <v>0</v>
          </cell>
          <cell r="AF629" t="str">
            <v/>
          </cell>
        </row>
        <row r="630">
          <cell r="AA630" t="b">
            <v>0</v>
          </cell>
          <cell r="AB630" t="b">
            <v>0</v>
          </cell>
          <cell r="AC630" t="b">
            <v>0</v>
          </cell>
          <cell r="AD630" t="b">
            <v>0</v>
          </cell>
          <cell r="AE630" t="b">
            <v>0</v>
          </cell>
          <cell r="AF630" t="str">
            <v/>
          </cell>
        </row>
        <row r="631">
          <cell r="AA631" t="b">
            <v>0</v>
          </cell>
          <cell r="AB631" t="b">
            <v>0</v>
          </cell>
          <cell r="AC631" t="b">
            <v>0</v>
          </cell>
          <cell r="AD631" t="b">
            <v>0</v>
          </cell>
          <cell r="AE631" t="b">
            <v>0</v>
          </cell>
          <cell r="AF631" t="str">
            <v/>
          </cell>
        </row>
        <row r="632">
          <cell r="AA632" t="b">
            <v>0</v>
          </cell>
          <cell r="AB632" t="b">
            <v>0</v>
          </cell>
          <cell r="AC632" t="b">
            <v>0</v>
          </cell>
          <cell r="AD632" t="b">
            <v>0</v>
          </cell>
          <cell r="AE632" t="b">
            <v>0</v>
          </cell>
          <cell r="AF632" t="str">
            <v/>
          </cell>
        </row>
        <row r="633">
          <cell r="AA633" t="b">
            <v>0</v>
          </cell>
          <cell r="AB633" t="b">
            <v>0</v>
          </cell>
          <cell r="AC633" t="b">
            <v>0</v>
          </cell>
          <cell r="AD633" t="b">
            <v>0</v>
          </cell>
          <cell r="AE633" t="b">
            <v>0</v>
          </cell>
          <cell r="AF633" t="str">
            <v/>
          </cell>
        </row>
        <row r="634">
          <cell r="AA634" t="b">
            <v>0</v>
          </cell>
          <cell r="AB634" t="b">
            <v>0</v>
          </cell>
          <cell r="AC634" t="b">
            <v>0</v>
          </cell>
          <cell r="AD634" t="b">
            <v>0</v>
          </cell>
          <cell r="AE634" t="b">
            <v>0</v>
          </cell>
          <cell r="AF634" t="str">
            <v/>
          </cell>
        </row>
        <row r="635">
          <cell r="AA635" t="b">
            <v>0</v>
          </cell>
          <cell r="AB635" t="b">
            <v>0</v>
          </cell>
          <cell r="AC635" t="b">
            <v>0</v>
          </cell>
          <cell r="AD635" t="b">
            <v>0</v>
          </cell>
          <cell r="AE635" t="b">
            <v>0</v>
          </cell>
          <cell r="AF635" t="str">
            <v/>
          </cell>
        </row>
        <row r="636">
          <cell r="AA636" t="b">
            <v>0</v>
          </cell>
          <cell r="AB636" t="b">
            <v>0</v>
          </cell>
          <cell r="AC636" t="b">
            <v>0</v>
          </cell>
          <cell r="AD636" t="b">
            <v>0</v>
          </cell>
          <cell r="AE636" t="b">
            <v>0</v>
          </cell>
          <cell r="AF636" t="str">
            <v/>
          </cell>
        </row>
        <row r="637">
          <cell r="AA637" t="b">
            <v>0</v>
          </cell>
          <cell r="AB637" t="b">
            <v>0</v>
          </cell>
          <cell r="AC637" t="b">
            <v>0</v>
          </cell>
          <cell r="AD637" t="b">
            <v>0</v>
          </cell>
          <cell r="AE637" t="b">
            <v>0</v>
          </cell>
          <cell r="AF637" t="str">
            <v/>
          </cell>
        </row>
        <row r="638">
          <cell r="AA638" t="b">
            <v>0</v>
          </cell>
          <cell r="AB638" t="b">
            <v>0</v>
          </cell>
          <cell r="AC638" t="b">
            <v>0</v>
          </cell>
          <cell r="AD638" t="b">
            <v>0</v>
          </cell>
          <cell r="AE638" t="b">
            <v>0</v>
          </cell>
          <cell r="AF638" t="str">
            <v/>
          </cell>
        </row>
        <row r="639">
          <cell r="AA639" t="b">
            <v>0</v>
          </cell>
          <cell r="AB639" t="b">
            <v>0</v>
          </cell>
          <cell r="AC639" t="b">
            <v>0</v>
          </cell>
          <cell r="AD639" t="b">
            <v>0</v>
          </cell>
          <cell r="AE639" t="b">
            <v>0</v>
          </cell>
          <cell r="AF639" t="str">
            <v/>
          </cell>
        </row>
        <row r="640">
          <cell r="AA640" t="b">
            <v>0</v>
          </cell>
          <cell r="AB640" t="b">
            <v>0</v>
          </cell>
          <cell r="AC640" t="b">
            <v>0</v>
          </cell>
          <cell r="AD640" t="b">
            <v>0</v>
          </cell>
          <cell r="AE640" t="b">
            <v>0</v>
          </cell>
          <cell r="AF640" t="str">
            <v/>
          </cell>
        </row>
        <row r="641">
          <cell r="AA641" t="b">
            <v>0</v>
          </cell>
          <cell r="AB641" t="b">
            <v>0</v>
          </cell>
          <cell r="AC641" t="b">
            <v>0</v>
          </cell>
          <cell r="AD641" t="b">
            <v>0</v>
          </cell>
          <cell r="AE641" t="b">
            <v>0</v>
          </cell>
          <cell r="AF641" t="str">
            <v/>
          </cell>
        </row>
        <row r="642">
          <cell r="AA642" t="b">
            <v>0</v>
          </cell>
          <cell r="AB642" t="b">
            <v>0</v>
          </cell>
          <cell r="AC642" t="b">
            <v>0</v>
          </cell>
          <cell r="AD642" t="b">
            <v>0</v>
          </cell>
          <cell r="AE642" t="b">
            <v>0</v>
          </cell>
          <cell r="AF642" t="str">
            <v/>
          </cell>
        </row>
        <row r="643">
          <cell r="AA643" t="b">
            <v>0</v>
          </cell>
          <cell r="AB643" t="b">
            <v>0</v>
          </cell>
          <cell r="AC643" t="b">
            <v>0</v>
          </cell>
          <cell r="AD643" t="b">
            <v>0</v>
          </cell>
          <cell r="AE643" t="b">
            <v>0</v>
          </cell>
          <cell r="AF643" t="str">
            <v/>
          </cell>
        </row>
        <row r="644">
          <cell r="AA644" t="b">
            <v>0</v>
          </cell>
          <cell r="AB644" t="b">
            <v>0</v>
          </cell>
          <cell r="AC644" t="b">
            <v>0</v>
          </cell>
          <cell r="AD644" t="b">
            <v>0</v>
          </cell>
          <cell r="AE644" t="b">
            <v>0</v>
          </cell>
          <cell r="AF644" t="str">
            <v/>
          </cell>
        </row>
        <row r="645">
          <cell r="AA645" t="b">
            <v>0</v>
          </cell>
          <cell r="AB645" t="b">
            <v>0</v>
          </cell>
          <cell r="AC645" t="b">
            <v>0</v>
          </cell>
          <cell r="AD645" t="b">
            <v>0</v>
          </cell>
          <cell r="AE645" t="b">
            <v>0</v>
          </cell>
          <cell r="AF645" t="str">
            <v/>
          </cell>
        </row>
        <row r="646">
          <cell r="AA646" t="b">
            <v>0</v>
          </cell>
          <cell r="AB646" t="b">
            <v>0</v>
          </cell>
          <cell r="AC646" t="b">
            <v>0</v>
          </cell>
          <cell r="AD646" t="b">
            <v>0</v>
          </cell>
          <cell r="AE646" t="b">
            <v>0</v>
          </cell>
          <cell r="AF646" t="str">
            <v/>
          </cell>
        </row>
        <row r="647">
          <cell r="AA647" t="b">
            <v>0</v>
          </cell>
          <cell r="AB647" t="b">
            <v>0</v>
          </cell>
          <cell r="AC647" t="b">
            <v>0</v>
          </cell>
          <cell r="AD647" t="b">
            <v>0</v>
          </cell>
          <cell r="AE647" t="b">
            <v>0</v>
          </cell>
          <cell r="AF647" t="str">
            <v/>
          </cell>
        </row>
        <row r="648">
          <cell r="AA648" t="b">
            <v>0</v>
          </cell>
          <cell r="AB648" t="b">
            <v>0</v>
          </cell>
          <cell r="AC648" t="b">
            <v>0</v>
          </cell>
          <cell r="AD648" t="b">
            <v>0</v>
          </cell>
          <cell r="AE648" t="b">
            <v>0</v>
          </cell>
          <cell r="AF648" t="str">
            <v/>
          </cell>
        </row>
        <row r="649">
          <cell r="AA649" t="b">
            <v>0</v>
          </cell>
          <cell r="AB649" t="b">
            <v>0</v>
          </cell>
          <cell r="AC649" t="b">
            <v>0</v>
          </cell>
          <cell r="AD649" t="b">
            <v>0</v>
          </cell>
          <cell r="AE649" t="b">
            <v>0</v>
          </cell>
          <cell r="AF649" t="str">
            <v/>
          </cell>
        </row>
        <row r="650">
          <cell r="AA650" t="b">
            <v>0</v>
          </cell>
          <cell r="AB650" t="b">
            <v>0</v>
          </cell>
          <cell r="AC650" t="b">
            <v>0</v>
          </cell>
          <cell r="AD650" t="b">
            <v>0</v>
          </cell>
          <cell r="AE650" t="b">
            <v>0</v>
          </cell>
          <cell r="AF650" t="str">
            <v/>
          </cell>
        </row>
        <row r="651">
          <cell r="AA651" t="b">
            <v>0</v>
          </cell>
          <cell r="AB651" t="b">
            <v>0</v>
          </cell>
          <cell r="AC651" t="b">
            <v>0</v>
          </cell>
          <cell r="AD651" t="b">
            <v>0</v>
          </cell>
          <cell r="AE651" t="b">
            <v>0</v>
          </cell>
          <cell r="AF651" t="str">
            <v/>
          </cell>
        </row>
        <row r="652">
          <cell r="AA652" t="b">
            <v>0</v>
          </cell>
          <cell r="AB652" t="b">
            <v>0</v>
          </cell>
          <cell r="AC652" t="b">
            <v>0</v>
          </cell>
          <cell r="AD652" t="b">
            <v>0</v>
          </cell>
          <cell r="AE652" t="b">
            <v>0</v>
          </cell>
          <cell r="AF652" t="str">
            <v/>
          </cell>
        </row>
        <row r="653">
          <cell r="AA653" t="b">
            <v>0</v>
          </cell>
          <cell r="AB653" t="b">
            <v>0</v>
          </cell>
          <cell r="AC653" t="b">
            <v>0</v>
          </cell>
          <cell r="AD653" t="b">
            <v>0</v>
          </cell>
          <cell r="AE653" t="b">
            <v>0</v>
          </cell>
          <cell r="AF653" t="str">
            <v/>
          </cell>
        </row>
        <row r="654">
          <cell r="AA654" t="b">
            <v>0</v>
          </cell>
          <cell r="AB654" t="b">
            <v>0</v>
          </cell>
          <cell r="AC654" t="b">
            <v>0</v>
          </cell>
          <cell r="AD654" t="b">
            <v>0</v>
          </cell>
          <cell r="AE654" t="b">
            <v>0</v>
          </cell>
          <cell r="AF654" t="str">
            <v/>
          </cell>
        </row>
        <row r="655">
          <cell r="AA655" t="b">
            <v>0</v>
          </cell>
          <cell r="AB655" t="b">
            <v>0</v>
          </cell>
          <cell r="AC655" t="b">
            <v>0</v>
          </cell>
          <cell r="AD655" t="b">
            <v>0</v>
          </cell>
          <cell r="AE655" t="b">
            <v>0</v>
          </cell>
          <cell r="AF655" t="str">
            <v/>
          </cell>
        </row>
        <row r="656">
          <cell r="AA656" t="b">
            <v>0</v>
          </cell>
          <cell r="AB656" t="b">
            <v>0</v>
          </cell>
          <cell r="AC656" t="b">
            <v>0</v>
          </cell>
          <cell r="AD656" t="b">
            <v>0</v>
          </cell>
          <cell r="AE656" t="b">
            <v>0</v>
          </cell>
          <cell r="AF656" t="str">
            <v/>
          </cell>
        </row>
        <row r="657">
          <cell r="AA657" t="b">
            <v>0</v>
          </cell>
          <cell r="AB657" t="b">
            <v>0</v>
          </cell>
          <cell r="AC657" t="b">
            <v>0</v>
          </cell>
          <cell r="AD657" t="b">
            <v>0</v>
          </cell>
          <cell r="AE657" t="b">
            <v>0</v>
          </cell>
          <cell r="AF657" t="str">
            <v/>
          </cell>
        </row>
        <row r="658">
          <cell r="AA658" t="b">
            <v>0</v>
          </cell>
          <cell r="AB658" t="b">
            <v>0</v>
          </cell>
          <cell r="AC658" t="b">
            <v>0</v>
          </cell>
          <cell r="AD658" t="b">
            <v>0</v>
          </cell>
          <cell r="AE658" t="b">
            <v>0</v>
          </cell>
          <cell r="AF658" t="str">
            <v/>
          </cell>
        </row>
        <row r="659">
          <cell r="AA659" t="b">
            <v>0</v>
          </cell>
          <cell r="AB659" t="b">
            <v>0</v>
          </cell>
          <cell r="AC659" t="b">
            <v>0</v>
          </cell>
          <cell r="AD659" t="b">
            <v>0</v>
          </cell>
          <cell r="AE659" t="b">
            <v>0</v>
          </cell>
          <cell r="AF659" t="str">
            <v/>
          </cell>
        </row>
        <row r="660">
          <cell r="AA660" t="b">
            <v>0</v>
          </cell>
          <cell r="AB660" t="b">
            <v>0</v>
          </cell>
          <cell r="AC660" t="b">
            <v>0</v>
          </cell>
          <cell r="AD660" t="b">
            <v>0</v>
          </cell>
          <cell r="AE660" t="b">
            <v>0</v>
          </cell>
          <cell r="AF660" t="str">
            <v/>
          </cell>
        </row>
        <row r="661">
          <cell r="AA661" t="b">
            <v>0</v>
          </cell>
          <cell r="AB661" t="b">
            <v>0</v>
          </cell>
          <cell r="AC661" t="b">
            <v>0</v>
          </cell>
          <cell r="AD661" t="b">
            <v>0</v>
          </cell>
          <cell r="AE661" t="b">
            <v>0</v>
          </cell>
          <cell r="AF661" t="str">
            <v/>
          </cell>
        </row>
        <row r="662">
          <cell r="AA662" t="b">
            <v>0</v>
          </cell>
          <cell r="AB662" t="b">
            <v>0</v>
          </cell>
          <cell r="AC662" t="b">
            <v>0</v>
          </cell>
          <cell r="AD662" t="b">
            <v>0</v>
          </cell>
          <cell r="AE662" t="b">
            <v>0</v>
          </cell>
          <cell r="AF662" t="str">
            <v/>
          </cell>
        </row>
        <row r="663">
          <cell r="AA663" t="b">
            <v>0</v>
          </cell>
          <cell r="AB663" t="b">
            <v>0</v>
          </cell>
          <cell r="AC663" t="b">
            <v>0</v>
          </cell>
          <cell r="AD663" t="b">
            <v>0</v>
          </cell>
          <cell r="AE663" t="b">
            <v>0</v>
          </cell>
          <cell r="AF663" t="str">
            <v/>
          </cell>
        </row>
        <row r="664">
          <cell r="AA664" t="b">
            <v>0</v>
          </cell>
          <cell r="AB664" t="b">
            <v>0</v>
          </cell>
          <cell r="AC664" t="b">
            <v>0</v>
          </cell>
          <cell r="AD664" t="b">
            <v>0</v>
          </cell>
          <cell r="AE664" t="b">
            <v>0</v>
          </cell>
          <cell r="AF664" t="str">
            <v/>
          </cell>
        </row>
        <row r="665">
          <cell r="AA665" t="b">
            <v>0</v>
          </cell>
          <cell r="AB665" t="b">
            <v>0</v>
          </cell>
          <cell r="AC665" t="b">
            <v>0</v>
          </cell>
          <cell r="AD665" t="b">
            <v>0</v>
          </cell>
          <cell r="AE665" t="b">
            <v>0</v>
          </cell>
          <cell r="AF665" t="str">
            <v/>
          </cell>
        </row>
        <row r="666">
          <cell r="AA666" t="b">
            <v>0</v>
          </cell>
          <cell r="AB666" t="b">
            <v>0</v>
          </cell>
          <cell r="AC666" t="b">
            <v>0</v>
          </cell>
          <cell r="AD666" t="b">
            <v>0</v>
          </cell>
          <cell r="AE666" t="b">
            <v>0</v>
          </cell>
          <cell r="AF666" t="str">
            <v/>
          </cell>
        </row>
        <row r="667">
          <cell r="AA667" t="b">
            <v>0</v>
          </cell>
          <cell r="AB667" t="b">
            <v>0</v>
          </cell>
          <cell r="AC667" t="b">
            <v>0</v>
          </cell>
          <cell r="AD667" t="b">
            <v>0</v>
          </cell>
          <cell r="AE667" t="b">
            <v>0</v>
          </cell>
          <cell r="AF667" t="str">
            <v/>
          </cell>
        </row>
        <row r="668">
          <cell r="AA668" t="b">
            <v>0</v>
          </cell>
          <cell r="AB668" t="b">
            <v>0</v>
          </cell>
          <cell r="AC668" t="b">
            <v>0</v>
          </cell>
          <cell r="AD668" t="b">
            <v>0</v>
          </cell>
          <cell r="AE668" t="b">
            <v>0</v>
          </cell>
          <cell r="AF668" t="str">
            <v/>
          </cell>
        </row>
        <row r="669">
          <cell r="AA669" t="b">
            <v>0</v>
          </cell>
          <cell r="AB669" t="b">
            <v>0</v>
          </cell>
          <cell r="AC669" t="b">
            <v>0</v>
          </cell>
          <cell r="AD669" t="b">
            <v>0</v>
          </cell>
          <cell r="AE669" t="b">
            <v>0</v>
          </cell>
          <cell r="AF669" t="str">
            <v/>
          </cell>
        </row>
        <row r="670">
          <cell r="AA670" t="b">
            <v>0</v>
          </cell>
          <cell r="AB670" t="b">
            <v>0</v>
          </cell>
          <cell r="AC670" t="b">
            <v>0</v>
          </cell>
          <cell r="AD670" t="b">
            <v>0</v>
          </cell>
          <cell r="AE670" t="b">
            <v>0</v>
          </cell>
          <cell r="AF670" t="str">
            <v/>
          </cell>
        </row>
        <row r="671">
          <cell r="AA671" t="b">
            <v>0</v>
          </cell>
          <cell r="AB671" t="b">
            <v>0</v>
          </cell>
          <cell r="AC671" t="b">
            <v>0</v>
          </cell>
          <cell r="AD671" t="b">
            <v>0</v>
          </cell>
          <cell r="AE671" t="b">
            <v>0</v>
          </cell>
          <cell r="AF671" t="str">
            <v/>
          </cell>
        </row>
        <row r="672">
          <cell r="AA672" t="b">
            <v>0</v>
          </cell>
          <cell r="AB672" t="b">
            <v>0</v>
          </cell>
          <cell r="AC672" t="b">
            <v>0</v>
          </cell>
          <cell r="AD672" t="b">
            <v>0</v>
          </cell>
          <cell r="AE672" t="b">
            <v>0</v>
          </cell>
          <cell r="AF672" t="str">
            <v/>
          </cell>
        </row>
        <row r="673">
          <cell r="AA673" t="b">
            <v>0</v>
          </cell>
          <cell r="AB673" t="b">
            <v>0</v>
          </cell>
          <cell r="AC673" t="b">
            <v>0</v>
          </cell>
          <cell r="AD673" t="b">
            <v>0</v>
          </cell>
          <cell r="AE673" t="b">
            <v>0</v>
          </cell>
          <cell r="AF673" t="str">
            <v/>
          </cell>
        </row>
        <row r="674">
          <cell r="AA674" t="b">
            <v>0</v>
          </cell>
          <cell r="AB674" t="b">
            <v>0</v>
          </cell>
          <cell r="AC674" t="b">
            <v>0</v>
          </cell>
          <cell r="AD674" t="b">
            <v>0</v>
          </cell>
          <cell r="AE674" t="b">
            <v>0</v>
          </cell>
          <cell r="AF674" t="str">
            <v/>
          </cell>
        </row>
        <row r="675">
          <cell r="AA675" t="b">
            <v>0</v>
          </cell>
          <cell r="AB675" t="b">
            <v>0</v>
          </cell>
          <cell r="AC675" t="b">
            <v>0</v>
          </cell>
          <cell r="AD675" t="b">
            <v>0</v>
          </cell>
          <cell r="AE675" t="b">
            <v>0</v>
          </cell>
          <cell r="AF675" t="str">
            <v/>
          </cell>
        </row>
        <row r="676">
          <cell r="AA676" t="b">
            <v>0</v>
          </cell>
          <cell r="AB676" t="b">
            <v>0</v>
          </cell>
          <cell r="AC676" t="b">
            <v>0</v>
          </cell>
          <cell r="AD676" t="b">
            <v>0</v>
          </cell>
          <cell r="AE676" t="b">
            <v>0</v>
          </cell>
          <cell r="AF676" t="str">
            <v/>
          </cell>
        </row>
        <row r="677">
          <cell r="AA677" t="b">
            <v>0</v>
          </cell>
          <cell r="AB677" t="b">
            <v>0</v>
          </cell>
          <cell r="AC677" t="b">
            <v>0</v>
          </cell>
          <cell r="AD677" t="b">
            <v>0</v>
          </cell>
          <cell r="AE677" t="b">
            <v>0</v>
          </cell>
          <cell r="AF677" t="str">
            <v/>
          </cell>
        </row>
        <row r="678">
          <cell r="AA678" t="b">
            <v>0</v>
          </cell>
          <cell r="AB678" t="b">
            <v>0</v>
          </cell>
          <cell r="AC678" t="b">
            <v>0</v>
          </cell>
          <cell r="AD678" t="b">
            <v>0</v>
          </cell>
          <cell r="AE678" t="b">
            <v>0</v>
          </cell>
          <cell r="AF678" t="str">
            <v/>
          </cell>
        </row>
        <row r="679">
          <cell r="AA679" t="b">
            <v>0</v>
          </cell>
          <cell r="AB679" t="b">
            <v>0</v>
          </cell>
          <cell r="AC679" t="b">
            <v>0</v>
          </cell>
          <cell r="AD679" t="b">
            <v>0</v>
          </cell>
          <cell r="AE679" t="b">
            <v>0</v>
          </cell>
          <cell r="AF679" t="str">
            <v/>
          </cell>
        </row>
        <row r="680">
          <cell r="AA680" t="b">
            <v>0</v>
          </cell>
          <cell r="AB680" t="b">
            <v>0</v>
          </cell>
          <cell r="AC680" t="b">
            <v>0</v>
          </cell>
          <cell r="AD680" t="b">
            <v>0</v>
          </cell>
          <cell r="AE680" t="b">
            <v>0</v>
          </cell>
          <cell r="AF680" t="str">
            <v/>
          </cell>
        </row>
        <row r="681">
          <cell r="AA681" t="b">
            <v>0</v>
          </cell>
          <cell r="AB681" t="b">
            <v>0</v>
          </cell>
          <cell r="AC681" t="b">
            <v>0</v>
          </cell>
          <cell r="AD681" t="b">
            <v>0</v>
          </cell>
          <cell r="AE681" t="b">
            <v>0</v>
          </cell>
          <cell r="AF681" t="str">
            <v/>
          </cell>
        </row>
        <row r="682">
          <cell r="AA682" t="b">
            <v>0</v>
          </cell>
          <cell r="AB682" t="b">
            <v>0</v>
          </cell>
          <cell r="AC682" t="b">
            <v>0</v>
          </cell>
          <cell r="AD682" t="b">
            <v>0</v>
          </cell>
          <cell r="AE682" t="b">
            <v>0</v>
          </cell>
          <cell r="AF682" t="str">
            <v/>
          </cell>
        </row>
        <row r="683">
          <cell r="AA683" t="b">
            <v>0</v>
          </cell>
          <cell r="AB683" t="b">
            <v>0</v>
          </cell>
          <cell r="AC683" t="b">
            <v>0</v>
          </cell>
          <cell r="AD683" t="b">
            <v>0</v>
          </cell>
          <cell r="AE683" t="b">
            <v>0</v>
          </cell>
          <cell r="AF683" t="str">
            <v/>
          </cell>
        </row>
        <row r="684">
          <cell r="AA684" t="b">
            <v>0</v>
          </cell>
          <cell r="AB684" t="b">
            <v>0</v>
          </cell>
          <cell r="AC684" t="b">
            <v>0</v>
          </cell>
          <cell r="AD684" t="b">
            <v>0</v>
          </cell>
          <cell r="AE684" t="b">
            <v>0</v>
          </cell>
          <cell r="AF684" t="str">
            <v/>
          </cell>
        </row>
        <row r="685">
          <cell r="AA685" t="b">
            <v>0</v>
          </cell>
          <cell r="AB685" t="b">
            <v>0</v>
          </cell>
          <cell r="AC685" t="b">
            <v>0</v>
          </cell>
          <cell r="AD685" t="b">
            <v>0</v>
          </cell>
          <cell r="AE685" t="b">
            <v>0</v>
          </cell>
          <cell r="AF685" t="str">
            <v/>
          </cell>
        </row>
        <row r="686">
          <cell r="AA686" t="b">
            <v>0</v>
          </cell>
          <cell r="AB686" t="b">
            <v>0</v>
          </cell>
          <cell r="AC686" t="b">
            <v>0</v>
          </cell>
          <cell r="AD686" t="b">
            <v>0</v>
          </cell>
          <cell r="AE686" t="b">
            <v>0</v>
          </cell>
          <cell r="AF686" t="str">
            <v/>
          </cell>
        </row>
        <row r="687">
          <cell r="AA687" t="b">
            <v>0</v>
          </cell>
          <cell r="AB687" t="b">
            <v>0</v>
          </cell>
          <cell r="AC687" t="b">
            <v>0</v>
          </cell>
          <cell r="AD687" t="b">
            <v>0</v>
          </cell>
          <cell r="AE687" t="b">
            <v>0</v>
          </cell>
          <cell r="AF687" t="str">
            <v/>
          </cell>
        </row>
        <row r="688">
          <cell r="AA688" t="b">
            <v>0</v>
          </cell>
          <cell r="AB688" t="b">
            <v>0</v>
          </cell>
          <cell r="AC688" t="b">
            <v>0</v>
          </cell>
          <cell r="AD688" t="b">
            <v>0</v>
          </cell>
          <cell r="AE688" t="b">
            <v>0</v>
          </cell>
          <cell r="AF688" t="str">
            <v/>
          </cell>
        </row>
        <row r="689">
          <cell r="AA689" t="b">
            <v>0</v>
          </cell>
          <cell r="AB689" t="b">
            <v>0</v>
          </cell>
          <cell r="AC689" t="b">
            <v>0</v>
          </cell>
          <cell r="AD689" t="b">
            <v>0</v>
          </cell>
          <cell r="AE689" t="b">
            <v>0</v>
          </cell>
          <cell r="AF689" t="str">
            <v/>
          </cell>
        </row>
        <row r="690">
          <cell r="AA690" t="b">
            <v>0</v>
          </cell>
          <cell r="AB690" t="b">
            <v>0</v>
          </cell>
          <cell r="AC690" t="b">
            <v>0</v>
          </cell>
          <cell r="AD690" t="b">
            <v>0</v>
          </cell>
          <cell r="AE690" t="b">
            <v>0</v>
          </cell>
          <cell r="AF690" t="str">
            <v/>
          </cell>
        </row>
        <row r="691">
          <cell r="AA691" t="b">
            <v>0</v>
          </cell>
          <cell r="AB691" t="b">
            <v>0</v>
          </cell>
          <cell r="AC691" t="b">
            <v>0</v>
          </cell>
          <cell r="AD691" t="b">
            <v>0</v>
          </cell>
          <cell r="AE691" t="b">
            <v>0</v>
          </cell>
          <cell r="AF691" t="str">
            <v/>
          </cell>
        </row>
        <row r="692">
          <cell r="AA692" t="b">
            <v>0</v>
          </cell>
          <cell r="AB692" t="b">
            <v>0</v>
          </cell>
          <cell r="AC692" t="b">
            <v>0</v>
          </cell>
          <cell r="AD692" t="b">
            <v>0</v>
          </cell>
          <cell r="AE692" t="b">
            <v>0</v>
          </cell>
          <cell r="AF692" t="str">
            <v/>
          </cell>
        </row>
        <row r="693">
          <cell r="AA693" t="b">
            <v>0</v>
          </cell>
          <cell r="AB693" t="b">
            <v>0</v>
          </cell>
          <cell r="AC693" t="b">
            <v>0</v>
          </cell>
          <cell r="AD693" t="b">
            <v>0</v>
          </cell>
          <cell r="AE693" t="b">
            <v>0</v>
          </cell>
          <cell r="AF693" t="str">
            <v/>
          </cell>
        </row>
        <row r="694">
          <cell r="AA694" t="b">
            <v>0</v>
          </cell>
          <cell r="AB694" t="b">
            <v>0</v>
          </cell>
          <cell r="AC694" t="b">
            <v>0</v>
          </cell>
          <cell r="AD694" t="b">
            <v>0</v>
          </cell>
          <cell r="AE694" t="b">
            <v>0</v>
          </cell>
          <cell r="AF694" t="str">
            <v/>
          </cell>
        </row>
        <row r="695">
          <cell r="AA695" t="b">
            <v>0</v>
          </cell>
          <cell r="AB695" t="b">
            <v>0</v>
          </cell>
          <cell r="AC695" t="b">
            <v>0</v>
          </cell>
          <cell r="AD695" t="b">
            <v>0</v>
          </cell>
          <cell r="AE695" t="b">
            <v>0</v>
          </cell>
          <cell r="AF695" t="str">
            <v/>
          </cell>
        </row>
        <row r="696">
          <cell r="AA696" t="b">
            <v>0</v>
          </cell>
          <cell r="AB696" t="b">
            <v>0</v>
          </cell>
          <cell r="AC696" t="b">
            <v>0</v>
          </cell>
          <cell r="AD696" t="b">
            <v>0</v>
          </cell>
          <cell r="AE696" t="b">
            <v>0</v>
          </cell>
          <cell r="AF696" t="str">
            <v/>
          </cell>
        </row>
        <row r="697">
          <cell r="AA697" t="b">
            <v>0</v>
          </cell>
          <cell r="AB697" t="b">
            <v>0</v>
          </cell>
          <cell r="AC697" t="b">
            <v>0</v>
          </cell>
          <cell r="AD697" t="b">
            <v>0</v>
          </cell>
          <cell r="AE697" t="b">
            <v>0</v>
          </cell>
          <cell r="AF697" t="str">
            <v/>
          </cell>
        </row>
        <row r="698">
          <cell r="AA698" t="b">
            <v>0</v>
          </cell>
          <cell r="AB698" t="b">
            <v>0</v>
          </cell>
          <cell r="AC698" t="b">
            <v>0</v>
          </cell>
          <cell r="AD698" t="b">
            <v>0</v>
          </cell>
          <cell r="AE698" t="b">
            <v>0</v>
          </cell>
          <cell r="AF698" t="str">
            <v/>
          </cell>
        </row>
        <row r="699">
          <cell r="AA699" t="b">
            <v>0</v>
          </cell>
          <cell r="AB699" t="b">
            <v>0</v>
          </cell>
          <cell r="AC699" t="b">
            <v>0</v>
          </cell>
          <cell r="AD699" t="b">
            <v>0</v>
          </cell>
          <cell r="AE699" t="b">
            <v>0</v>
          </cell>
          <cell r="AF699" t="str">
            <v/>
          </cell>
        </row>
        <row r="700">
          <cell r="AA700" t="b">
            <v>0</v>
          </cell>
          <cell r="AB700" t="b">
            <v>0</v>
          </cell>
          <cell r="AC700" t="b">
            <v>0</v>
          </cell>
          <cell r="AD700" t="b">
            <v>0</v>
          </cell>
          <cell r="AE700" t="b">
            <v>0</v>
          </cell>
          <cell r="AF700" t="str">
            <v/>
          </cell>
        </row>
        <row r="701">
          <cell r="AA701" t="b">
            <v>0</v>
          </cell>
          <cell r="AB701" t="b">
            <v>0</v>
          </cell>
          <cell r="AC701" t="b">
            <v>0</v>
          </cell>
          <cell r="AD701" t="b">
            <v>0</v>
          </cell>
          <cell r="AE701" t="b">
            <v>0</v>
          </cell>
          <cell r="AF701" t="str">
            <v/>
          </cell>
        </row>
        <row r="702">
          <cell r="AA702" t="b">
            <v>0</v>
          </cell>
          <cell r="AB702" t="b">
            <v>0</v>
          </cell>
          <cell r="AC702" t="b">
            <v>0</v>
          </cell>
          <cell r="AD702" t="b">
            <v>0</v>
          </cell>
          <cell r="AE702" t="b">
            <v>0</v>
          </cell>
          <cell r="AF702" t="str">
            <v/>
          </cell>
        </row>
        <row r="703">
          <cell r="AA703" t="b">
            <v>0</v>
          </cell>
          <cell r="AB703" t="b">
            <v>0</v>
          </cell>
          <cell r="AC703" t="b">
            <v>0</v>
          </cell>
          <cell r="AD703" t="b">
            <v>0</v>
          </cell>
          <cell r="AE703" t="b">
            <v>0</v>
          </cell>
          <cell r="AF703" t="str">
            <v/>
          </cell>
        </row>
        <row r="704">
          <cell r="AA704" t="b">
            <v>0</v>
          </cell>
          <cell r="AB704" t="b">
            <v>0</v>
          </cell>
          <cell r="AC704" t="b">
            <v>0</v>
          </cell>
          <cell r="AD704" t="b">
            <v>0</v>
          </cell>
          <cell r="AE704" t="b">
            <v>0</v>
          </cell>
          <cell r="AF704" t="str">
            <v/>
          </cell>
        </row>
        <row r="705">
          <cell r="AA705" t="b">
            <v>0</v>
          </cell>
          <cell r="AB705" t="b">
            <v>0</v>
          </cell>
          <cell r="AC705" t="b">
            <v>0</v>
          </cell>
          <cell r="AD705" t="b">
            <v>0</v>
          </cell>
          <cell r="AE705" t="b">
            <v>0</v>
          </cell>
          <cell r="AF705" t="str">
            <v/>
          </cell>
        </row>
        <row r="706">
          <cell r="AA706" t="b">
            <v>0</v>
          </cell>
          <cell r="AB706" t="b">
            <v>0</v>
          </cell>
          <cell r="AC706" t="b">
            <v>0</v>
          </cell>
          <cell r="AD706" t="b">
            <v>0</v>
          </cell>
          <cell r="AE706" t="b">
            <v>0</v>
          </cell>
          <cell r="AF706" t="str">
            <v/>
          </cell>
        </row>
        <row r="707">
          <cell r="AA707" t="b">
            <v>0</v>
          </cell>
          <cell r="AB707" t="b">
            <v>0</v>
          </cell>
          <cell r="AC707" t="b">
            <v>0</v>
          </cell>
          <cell r="AD707" t="b">
            <v>0</v>
          </cell>
          <cell r="AE707" t="b">
            <v>0</v>
          </cell>
          <cell r="AF707" t="str">
            <v/>
          </cell>
        </row>
        <row r="708">
          <cell r="AA708" t="b">
            <v>0</v>
          </cell>
          <cell r="AB708" t="b">
            <v>0</v>
          </cell>
          <cell r="AC708" t="b">
            <v>0</v>
          </cell>
          <cell r="AD708" t="b">
            <v>0</v>
          </cell>
          <cell r="AE708" t="b">
            <v>0</v>
          </cell>
          <cell r="AF708" t="str">
            <v/>
          </cell>
        </row>
        <row r="709">
          <cell r="AA709" t="b">
            <v>0</v>
          </cell>
          <cell r="AB709" t="b">
            <v>0</v>
          </cell>
          <cell r="AC709" t="b">
            <v>0</v>
          </cell>
          <cell r="AD709" t="b">
            <v>0</v>
          </cell>
          <cell r="AE709" t="b">
            <v>0</v>
          </cell>
          <cell r="AF709" t="str">
            <v/>
          </cell>
        </row>
        <row r="710">
          <cell r="AA710" t="b">
            <v>0</v>
          </cell>
          <cell r="AB710" t="b">
            <v>0</v>
          </cell>
          <cell r="AC710" t="b">
            <v>0</v>
          </cell>
          <cell r="AD710" t="b">
            <v>0</v>
          </cell>
          <cell r="AE710" t="b">
            <v>0</v>
          </cell>
          <cell r="AF710" t="str">
            <v/>
          </cell>
        </row>
        <row r="711">
          <cell r="AA711" t="b">
            <v>0</v>
          </cell>
          <cell r="AB711" t="b">
            <v>0</v>
          </cell>
          <cell r="AC711" t="b">
            <v>0</v>
          </cell>
          <cell r="AD711" t="b">
            <v>0</v>
          </cell>
          <cell r="AE711" t="b">
            <v>0</v>
          </cell>
          <cell r="AF711" t="str">
            <v/>
          </cell>
        </row>
        <row r="712">
          <cell r="AA712" t="b">
            <v>0</v>
          </cell>
          <cell r="AB712" t="b">
            <v>0</v>
          </cell>
          <cell r="AC712" t="b">
            <v>0</v>
          </cell>
          <cell r="AD712" t="b">
            <v>0</v>
          </cell>
          <cell r="AE712" t="b">
            <v>0</v>
          </cell>
          <cell r="AF712" t="str">
            <v/>
          </cell>
        </row>
        <row r="713">
          <cell r="AA713" t="b">
            <v>0</v>
          </cell>
          <cell r="AB713" t="b">
            <v>0</v>
          </cell>
          <cell r="AC713" t="b">
            <v>0</v>
          </cell>
          <cell r="AD713" t="b">
            <v>0</v>
          </cell>
          <cell r="AE713" t="b">
            <v>0</v>
          </cell>
          <cell r="AF713" t="str">
            <v/>
          </cell>
        </row>
        <row r="714">
          <cell r="AA714" t="b">
            <v>0</v>
          </cell>
          <cell r="AB714" t="b">
            <v>0</v>
          </cell>
          <cell r="AC714" t="b">
            <v>0</v>
          </cell>
          <cell r="AD714" t="b">
            <v>0</v>
          </cell>
          <cell r="AE714" t="b">
            <v>0</v>
          </cell>
          <cell r="AF714" t="str">
            <v/>
          </cell>
        </row>
        <row r="715">
          <cell r="AA715" t="b">
            <v>0</v>
          </cell>
          <cell r="AB715" t="b">
            <v>0</v>
          </cell>
          <cell r="AC715" t="b">
            <v>0</v>
          </cell>
          <cell r="AD715" t="b">
            <v>0</v>
          </cell>
          <cell r="AE715" t="b">
            <v>0</v>
          </cell>
          <cell r="AF715" t="str">
            <v/>
          </cell>
        </row>
        <row r="716">
          <cell r="AA716" t="b">
            <v>0</v>
          </cell>
          <cell r="AB716" t="b">
            <v>0</v>
          </cell>
          <cell r="AC716" t="b">
            <v>0</v>
          </cell>
          <cell r="AD716" t="b">
            <v>0</v>
          </cell>
          <cell r="AE716" t="b">
            <v>0</v>
          </cell>
          <cell r="AF716" t="str">
            <v/>
          </cell>
        </row>
        <row r="717">
          <cell r="AA717" t="b">
            <v>0</v>
          </cell>
          <cell r="AB717" t="b">
            <v>0</v>
          </cell>
          <cell r="AC717" t="b">
            <v>0</v>
          </cell>
          <cell r="AD717" t="b">
            <v>0</v>
          </cell>
          <cell r="AE717" t="b">
            <v>0</v>
          </cell>
          <cell r="AF717" t="str">
            <v/>
          </cell>
        </row>
        <row r="718">
          <cell r="AA718" t="b">
            <v>0</v>
          </cell>
          <cell r="AB718" t="b">
            <v>0</v>
          </cell>
          <cell r="AC718" t="b">
            <v>0</v>
          </cell>
          <cell r="AD718" t="b">
            <v>0</v>
          </cell>
          <cell r="AE718" t="b">
            <v>0</v>
          </cell>
          <cell r="AF718" t="str">
            <v/>
          </cell>
        </row>
        <row r="719">
          <cell r="AA719" t="b">
            <v>0</v>
          </cell>
          <cell r="AB719" t="b">
            <v>0</v>
          </cell>
          <cell r="AC719" t="b">
            <v>0</v>
          </cell>
          <cell r="AD719" t="b">
            <v>0</v>
          </cell>
          <cell r="AE719" t="b">
            <v>0</v>
          </cell>
          <cell r="AF719" t="str">
            <v/>
          </cell>
        </row>
        <row r="720">
          <cell r="AA720" t="b">
            <v>0</v>
          </cell>
          <cell r="AB720" t="b">
            <v>0</v>
          </cell>
          <cell r="AC720" t="b">
            <v>0</v>
          </cell>
          <cell r="AD720" t="b">
            <v>0</v>
          </cell>
          <cell r="AE720" t="b">
            <v>0</v>
          </cell>
          <cell r="AF720" t="str">
            <v/>
          </cell>
        </row>
        <row r="721">
          <cell r="AA721" t="b">
            <v>0</v>
          </cell>
          <cell r="AB721" t="b">
            <v>0</v>
          </cell>
          <cell r="AC721" t="b">
            <v>0</v>
          </cell>
          <cell r="AD721" t="b">
            <v>0</v>
          </cell>
          <cell r="AE721" t="b">
            <v>0</v>
          </cell>
          <cell r="AF721" t="str">
            <v/>
          </cell>
        </row>
        <row r="722">
          <cell r="AA722" t="b">
            <v>0</v>
          </cell>
          <cell r="AB722" t="b">
            <v>0</v>
          </cell>
          <cell r="AC722" t="b">
            <v>0</v>
          </cell>
          <cell r="AD722" t="b">
            <v>0</v>
          </cell>
          <cell r="AE722" t="b">
            <v>0</v>
          </cell>
          <cell r="AF722" t="str">
            <v/>
          </cell>
        </row>
        <row r="723">
          <cell r="AA723" t="b">
            <v>0</v>
          </cell>
          <cell r="AB723" t="b">
            <v>0</v>
          </cell>
          <cell r="AC723" t="b">
            <v>0</v>
          </cell>
          <cell r="AD723" t="b">
            <v>0</v>
          </cell>
          <cell r="AE723" t="b">
            <v>0</v>
          </cell>
          <cell r="AF723" t="str">
            <v/>
          </cell>
        </row>
        <row r="724">
          <cell r="AA724" t="b">
            <v>0</v>
          </cell>
          <cell r="AB724" t="b">
            <v>0</v>
          </cell>
          <cell r="AC724" t="b">
            <v>0</v>
          </cell>
          <cell r="AD724" t="b">
            <v>0</v>
          </cell>
          <cell r="AE724" t="b">
            <v>0</v>
          </cell>
          <cell r="AF724" t="str">
            <v/>
          </cell>
        </row>
        <row r="725">
          <cell r="AA725" t="b">
            <v>0</v>
          </cell>
          <cell r="AB725" t="b">
            <v>0</v>
          </cell>
          <cell r="AC725" t="b">
            <v>0</v>
          </cell>
          <cell r="AD725" t="b">
            <v>0</v>
          </cell>
          <cell r="AE725" t="b">
            <v>0</v>
          </cell>
          <cell r="AF725" t="str">
            <v/>
          </cell>
        </row>
        <row r="726">
          <cell r="AA726" t="b">
            <v>0</v>
          </cell>
          <cell r="AB726" t="b">
            <v>0</v>
          </cell>
          <cell r="AC726" t="b">
            <v>0</v>
          </cell>
          <cell r="AD726" t="b">
            <v>0</v>
          </cell>
          <cell r="AE726" t="b">
            <v>0</v>
          </cell>
          <cell r="AF726" t="str">
            <v/>
          </cell>
        </row>
        <row r="727">
          <cell r="AA727" t="b">
            <v>0</v>
          </cell>
          <cell r="AB727" t="b">
            <v>0</v>
          </cell>
          <cell r="AC727" t="b">
            <v>0</v>
          </cell>
          <cell r="AD727" t="b">
            <v>0</v>
          </cell>
          <cell r="AE727" t="b">
            <v>0</v>
          </cell>
          <cell r="AF727" t="str">
            <v/>
          </cell>
        </row>
        <row r="728">
          <cell r="AA728" t="b">
            <v>0</v>
          </cell>
          <cell r="AB728" t="b">
            <v>0</v>
          </cell>
          <cell r="AC728" t="b">
            <v>0</v>
          </cell>
          <cell r="AD728" t="b">
            <v>0</v>
          </cell>
          <cell r="AE728" t="b">
            <v>0</v>
          </cell>
          <cell r="AF728" t="str">
            <v/>
          </cell>
        </row>
        <row r="729">
          <cell r="AA729" t="b">
            <v>0</v>
          </cell>
          <cell r="AB729" t="b">
            <v>0</v>
          </cell>
          <cell r="AC729" t="b">
            <v>0</v>
          </cell>
          <cell r="AD729" t="b">
            <v>0</v>
          </cell>
          <cell r="AE729" t="b">
            <v>0</v>
          </cell>
          <cell r="AF729" t="str">
            <v/>
          </cell>
        </row>
        <row r="730">
          <cell r="AA730" t="b">
            <v>0</v>
          </cell>
          <cell r="AB730" t="b">
            <v>0</v>
          </cell>
          <cell r="AC730" t="b">
            <v>0</v>
          </cell>
          <cell r="AD730" t="b">
            <v>0</v>
          </cell>
          <cell r="AE730" t="b">
            <v>0</v>
          </cell>
          <cell r="AF730" t="str">
            <v/>
          </cell>
        </row>
        <row r="731">
          <cell r="AA731" t="b">
            <v>0</v>
          </cell>
          <cell r="AB731" t="b">
            <v>0</v>
          </cell>
          <cell r="AC731" t="b">
            <v>0</v>
          </cell>
          <cell r="AD731" t="b">
            <v>0</v>
          </cell>
          <cell r="AE731" t="b">
            <v>0</v>
          </cell>
          <cell r="AF731" t="str">
            <v/>
          </cell>
        </row>
        <row r="732">
          <cell r="AA732" t="b">
            <v>0</v>
          </cell>
          <cell r="AB732" t="b">
            <v>0</v>
          </cell>
          <cell r="AC732" t="b">
            <v>0</v>
          </cell>
          <cell r="AD732" t="b">
            <v>0</v>
          </cell>
          <cell r="AE732" t="b">
            <v>0</v>
          </cell>
          <cell r="AF732" t="str">
            <v/>
          </cell>
        </row>
        <row r="733">
          <cell r="AA733" t="b">
            <v>0</v>
          </cell>
          <cell r="AB733" t="b">
            <v>0</v>
          </cell>
          <cell r="AC733" t="b">
            <v>0</v>
          </cell>
          <cell r="AD733" t="b">
            <v>0</v>
          </cell>
          <cell r="AE733" t="b">
            <v>0</v>
          </cell>
          <cell r="AF733" t="str">
            <v/>
          </cell>
        </row>
        <row r="734">
          <cell r="AA734" t="b">
            <v>0</v>
          </cell>
          <cell r="AB734" t="b">
            <v>0</v>
          </cell>
          <cell r="AC734" t="b">
            <v>0</v>
          </cell>
          <cell r="AD734" t="b">
            <v>0</v>
          </cell>
          <cell r="AE734" t="b">
            <v>0</v>
          </cell>
          <cell r="AF734" t="str">
            <v/>
          </cell>
        </row>
        <row r="735">
          <cell r="AA735" t="b">
            <v>0</v>
          </cell>
          <cell r="AB735" t="b">
            <v>0</v>
          </cell>
          <cell r="AC735" t="b">
            <v>0</v>
          </cell>
          <cell r="AD735" t="b">
            <v>0</v>
          </cell>
          <cell r="AE735" t="b">
            <v>0</v>
          </cell>
          <cell r="AF735" t="str">
            <v/>
          </cell>
        </row>
        <row r="736">
          <cell r="AA736" t="b">
            <v>0</v>
          </cell>
          <cell r="AB736" t="b">
            <v>0</v>
          </cell>
          <cell r="AC736" t="b">
            <v>0</v>
          </cell>
          <cell r="AD736" t="b">
            <v>0</v>
          </cell>
          <cell r="AE736" t="b">
            <v>0</v>
          </cell>
          <cell r="AF736" t="str">
            <v/>
          </cell>
        </row>
        <row r="737">
          <cell r="AA737" t="b">
            <v>0</v>
          </cell>
          <cell r="AB737" t="b">
            <v>0</v>
          </cell>
          <cell r="AC737" t="b">
            <v>0</v>
          </cell>
          <cell r="AD737" t="b">
            <v>0</v>
          </cell>
          <cell r="AE737" t="b">
            <v>0</v>
          </cell>
          <cell r="AF737" t="str">
            <v/>
          </cell>
        </row>
        <row r="738">
          <cell r="AA738" t="b">
            <v>0</v>
          </cell>
          <cell r="AB738" t="b">
            <v>0</v>
          </cell>
          <cell r="AC738" t="b">
            <v>0</v>
          </cell>
          <cell r="AD738" t="b">
            <v>0</v>
          </cell>
          <cell r="AE738" t="b">
            <v>0</v>
          </cell>
          <cell r="AF738" t="str">
            <v/>
          </cell>
        </row>
        <row r="739">
          <cell r="AA739" t="b">
            <v>0</v>
          </cell>
          <cell r="AB739" t="b">
            <v>0</v>
          </cell>
          <cell r="AC739" t="b">
            <v>0</v>
          </cell>
          <cell r="AD739" t="b">
            <v>0</v>
          </cell>
          <cell r="AE739" t="b">
            <v>0</v>
          </cell>
          <cell r="AF739" t="str">
            <v/>
          </cell>
        </row>
        <row r="740">
          <cell r="AA740" t="b">
            <v>0</v>
          </cell>
          <cell r="AB740" t="b">
            <v>0</v>
          </cell>
          <cell r="AC740" t="b">
            <v>0</v>
          </cell>
          <cell r="AD740" t="b">
            <v>0</v>
          </cell>
          <cell r="AE740" t="b">
            <v>0</v>
          </cell>
          <cell r="AF740" t="str">
            <v/>
          </cell>
        </row>
        <row r="741">
          <cell r="AA741" t="b">
            <v>0</v>
          </cell>
          <cell r="AB741" t="b">
            <v>0</v>
          </cell>
          <cell r="AC741" t="b">
            <v>0</v>
          </cell>
          <cell r="AD741" t="b">
            <v>0</v>
          </cell>
          <cell r="AE741" t="b">
            <v>0</v>
          </cell>
          <cell r="AF741" t="str">
            <v/>
          </cell>
        </row>
        <row r="742">
          <cell r="AA742" t="b">
            <v>0</v>
          </cell>
          <cell r="AB742" t="b">
            <v>0</v>
          </cell>
          <cell r="AC742" t="b">
            <v>0</v>
          </cell>
          <cell r="AD742" t="b">
            <v>0</v>
          </cell>
          <cell r="AE742" t="b">
            <v>0</v>
          </cell>
          <cell r="AF742" t="str">
            <v/>
          </cell>
        </row>
        <row r="743">
          <cell r="AA743" t="b">
            <v>0</v>
          </cell>
          <cell r="AB743" t="b">
            <v>0</v>
          </cell>
          <cell r="AC743" t="b">
            <v>0</v>
          </cell>
          <cell r="AD743" t="b">
            <v>0</v>
          </cell>
          <cell r="AE743" t="b">
            <v>0</v>
          </cell>
          <cell r="AF743" t="str">
            <v/>
          </cell>
        </row>
        <row r="744">
          <cell r="AA744" t="b">
            <v>0</v>
          </cell>
          <cell r="AB744" t="b">
            <v>0</v>
          </cell>
          <cell r="AC744" t="b">
            <v>0</v>
          </cell>
          <cell r="AD744" t="b">
            <v>0</v>
          </cell>
          <cell r="AE744" t="b">
            <v>0</v>
          </cell>
          <cell r="AF744" t="str">
            <v/>
          </cell>
        </row>
        <row r="745">
          <cell r="AA745" t="b">
            <v>0</v>
          </cell>
          <cell r="AB745" t="b">
            <v>0</v>
          </cell>
          <cell r="AC745" t="b">
            <v>0</v>
          </cell>
          <cell r="AD745" t="b">
            <v>0</v>
          </cell>
          <cell r="AE745" t="b">
            <v>0</v>
          </cell>
          <cell r="AF745" t="str">
            <v/>
          </cell>
        </row>
        <row r="746">
          <cell r="AA746" t="b">
            <v>0</v>
          </cell>
          <cell r="AB746" t="b">
            <v>0</v>
          </cell>
          <cell r="AC746" t="b">
            <v>0</v>
          </cell>
          <cell r="AD746" t="b">
            <v>0</v>
          </cell>
          <cell r="AE746" t="b">
            <v>0</v>
          </cell>
          <cell r="AF746" t="str">
            <v/>
          </cell>
        </row>
        <row r="747">
          <cell r="AA747" t="b">
            <v>0</v>
          </cell>
          <cell r="AB747" t="b">
            <v>0</v>
          </cell>
          <cell r="AC747" t="b">
            <v>0</v>
          </cell>
          <cell r="AD747" t="b">
            <v>0</v>
          </cell>
          <cell r="AE747" t="b">
            <v>0</v>
          </cell>
          <cell r="AF747" t="str">
            <v/>
          </cell>
        </row>
        <row r="748">
          <cell r="AA748" t="b">
            <v>0</v>
          </cell>
          <cell r="AB748" t="b">
            <v>0</v>
          </cell>
          <cell r="AC748" t="b">
            <v>0</v>
          </cell>
          <cell r="AD748" t="b">
            <v>0</v>
          </cell>
          <cell r="AE748" t="b">
            <v>0</v>
          </cell>
          <cell r="AF748" t="str">
            <v/>
          </cell>
        </row>
        <row r="749">
          <cell r="AA749" t="b">
            <v>0</v>
          </cell>
          <cell r="AB749" t="b">
            <v>0</v>
          </cell>
          <cell r="AC749" t="b">
            <v>0</v>
          </cell>
          <cell r="AD749" t="b">
            <v>0</v>
          </cell>
          <cell r="AE749" t="b">
            <v>0</v>
          </cell>
          <cell r="AF749" t="str">
            <v/>
          </cell>
        </row>
        <row r="750">
          <cell r="AA750" t="b">
            <v>0</v>
          </cell>
          <cell r="AB750" t="b">
            <v>0</v>
          </cell>
          <cell r="AC750" t="b">
            <v>0</v>
          </cell>
          <cell r="AD750" t="b">
            <v>0</v>
          </cell>
          <cell r="AE750" t="b">
            <v>0</v>
          </cell>
          <cell r="AF750" t="str">
            <v/>
          </cell>
        </row>
        <row r="751">
          <cell r="AA751" t="b">
            <v>0</v>
          </cell>
          <cell r="AB751" t="b">
            <v>0</v>
          </cell>
          <cell r="AC751" t="b">
            <v>0</v>
          </cell>
          <cell r="AD751" t="b">
            <v>0</v>
          </cell>
          <cell r="AE751" t="b">
            <v>0</v>
          </cell>
          <cell r="AF751" t="str">
            <v/>
          </cell>
        </row>
        <row r="752">
          <cell r="AA752" t="b">
            <v>0</v>
          </cell>
          <cell r="AB752" t="b">
            <v>0</v>
          </cell>
          <cell r="AC752" t="b">
            <v>0</v>
          </cell>
          <cell r="AD752" t="b">
            <v>0</v>
          </cell>
          <cell r="AE752" t="b">
            <v>0</v>
          </cell>
          <cell r="AF752" t="str">
            <v/>
          </cell>
        </row>
        <row r="753">
          <cell r="AA753" t="b">
            <v>0</v>
          </cell>
          <cell r="AB753" t="b">
            <v>0</v>
          </cell>
          <cell r="AC753" t="b">
            <v>0</v>
          </cell>
          <cell r="AD753" t="b">
            <v>0</v>
          </cell>
          <cell r="AE753" t="b">
            <v>0</v>
          </cell>
          <cell r="AF753" t="str">
            <v/>
          </cell>
        </row>
        <row r="754">
          <cell r="AA754" t="b">
            <v>0</v>
          </cell>
          <cell r="AB754" t="b">
            <v>0</v>
          </cell>
          <cell r="AC754" t="b">
            <v>0</v>
          </cell>
          <cell r="AD754" t="b">
            <v>0</v>
          </cell>
          <cell r="AE754" t="b">
            <v>0</v>
          </cell>
          <cell r="AF754" t="str">
            <v/>
          </cell>
        </row>
        <row r="755">
          <cell r="AA755" t="b">
            <v>0</v>
          </cell>
          <cell r="AB755" t="b">
            <v>0</v>
          </cell>
          <cell r="AC755" t="b">
            <v>0</v>
          </cell>
          <cell r="AD755" t="b">
            <v>0</v>
          </cell>
          <cell r="AE755" t="b">
            <v>0</v>
          </cell>
          <cell r="AF755" t="str">
            <v/>
          </cell>
        </row>
        <row r="756">
          <cell r="AA756" t="b">
            <v>0</v>
          </cell>
          <cell r="AB756" t="b">
            <v>0</v>
          </cell>
          <cell r="AC756" t="b">
            <v>0</v>
          </cell>
          <cell r="AD756" t="b">
            <v>0</v>
          </cell>
          <cell r="AE756" t="b">
            <v>0</v>
          </cell>
          <cell r="AF756" t="str">
            <v/>
          </cell>
        </row>
        <row r="757">
          <cell r="AA757" t="b">
            <v>0</v>
          </cell>
          <cell r="AB757" t="b">
            <v>0</v>
          </cell>
          <cell r="AC757" t="b">
            <v>0</v>
          </cell>
          <cell r="AD757" t="b">
            <v>0</v>
          </cell>
          <cell r="AE757" t="b">
            <v>0</v>
          </cell>
          <cell r="AF757" t="str">
            <v/>
          </cell>
        </row>
        <row r="758">
          <cell r="AA758" t="b">
            <v>0</v>
          </cell>
          <cell r="AB758" t="b">
            <v>0</v>
          </cell>
          <cell r="AC758" t="b">
            <v>0</v>
          </cell>
          <cell r="AD758" t="b">
            <v>0</v>
          </cell>
          <cell r="AE758" t="b">
            <v>0</v>
          </cell>
          <cell r="AF758" t="str">
            <v/>
          </cell>
        </row>
        <row r="759">
          <cell r="AA759" t="b">
            <v>0</v>
          </cell>
          <cell r="AB759" t="b">
            <v>0</v>
          </cell>
          <cell r="AC759" t="b">
            <v>0</v>
          </cell>
          <cell r="AD759" t="b">
            <v>0</v>
          </cell>
          <cell r="AE759" t="b">
            <v>0</v>
          </cell>
          <cell r="AF759" t="str">
            <v/>
          </cell>
        </row>
        <row r="760">
          <cell r="AA760" t="b">
            <v>0</v>
          </cell>
          <cell r="AB760" t="b">
            <v>0</v>
          </cell>
          <cell r="AC760" t="b">
            <v>0</v>
          </cell>
          <cell r="AD760" t="b">
            <v>0</v>
          </cell>
          <cell r="AE760" t="b">
            <v>0</v>
          </cell>
          <cell r="AF760" t="str">
            <v/>
          </cell>
        </row>
        <row r="761">
          <cell r="AA761" t="b">
            <v>0</v>
          </cell>
          <cell r="AB761" t="b">
            <v>0</v>
          </cell>
          <cell r="AC761" t="b">
            <v>0</v>
          </cell>
          <cell r="AD761" t="b">
            <v>0</v>
          </cell>
          <cell r="AE761" t="b">
            <v>0</v>
          </cell>
          <cell r="AF761" t="str">
            <v/>
          </cell>
        </row>
        <row r="762">
          <cell r="AA762" t="b">
            <v>0</v>
          </cell>
          <cell r="AB762" t="b">
            <v>0</v>
          </cell>
          <cell r="AC762" t="b">
            <v>0</v>
          </cell>
          <cell r="AD762" t="b">
            <v>0</v>
          </cell>
          <cell r="AE762" t="b">
            <v>0</v>
          </cell>
          <cell r="AF762" t="str">
            <v/>
          </cell>
        </row>
        <row r="763">
          <cell r="AA763" t="b">
            <v>0</v>
          </cell>
          <cell r="AB763" t="b">
            <v>0</v>
          </cell>
          <cell r="AC763" t="b">
            <v>0</v>
          </cell>
          <cell r="AD763" t="b">
            <v>0</v>
          </cell>
          <cell r="AE763" t="b">
            <v>0</v>
          </cell>
          <cell r="AF763" t="str">
            <v/>
          </cell>
        </row>
        <row r="764">
          <cell r="AA764" t="b">
            <v>0</v>
          </cell>
          <cell r="AB764" t="b">
            <v>0</v>
          </cell>
          <cell r="AC764" t="b">
            <v>0</v>
          </cell>
          <cell r="AD764" t="b">
            <v>0</v>
          </cell>
          <cell r="AE764" t="b">
            <v>0</v>
          </cell>
          <cell r="AF764" t="str">
            <v/>
          </cell>
        </row>
        <row r="765">
          <cell r="AA765" t="b">
            <v>0</v>
          </cell>
          <cell r="AB765" t="b">
            <v>0</v>
          </cell>
          <cell r="AC765" t="b">
            <v>0</v>
          </cell>
          <cell r="AD765" t="b">
            <v>0</v>
          </cell>
          <cell r="AE765" t="b">
            <v>0</v>
          </cell>
          <cell r="AF765" t="str">
            <v/>
          </cell>
        </row>
        <row r="766">
          <cell r="AA766" t="b">
            <v>0</v>
          </cell>
          <cell r="AB766" t="b">
            <v>0</v>
          </cell>
          <cell r="AC766" t="b">
            <v>0</v>
          </cell>
          <cell r="AD766" t="b">
            <v>0</v>
          </cell>
          <cell r="AE766" t="b">
            <v>0</v>
          </cell>
          <cell r="AF766" t="str">
            <v/>
          </cell>
        </row>
        <row r="767">
          <cell r="AA767" t="b">
            <v>0</v>
          </cell>
          <cell r="AB767" t="b">
            <v>0</v>
          </cell>
          <cell r="AC767" t="b">
            <v>0</v>
          </cell>
          <cell r="AD767" t="b">
            <v>0</v>
          </cell>
          <cell r="AE767" t="b">
            <v>0</v>
          </cell>
          <cell r="AF767" t="str">
            <v/>
          </cell>
        </row>
        <row r="768">
          <cell r="AA768" t="b">
            <v>0</v>
          </cell>
          <cell r="AB768" t="b">
            <v>0</v>
          </cell>
          <cell r="AC768" t="b">
            <v>0</v>
          </cell>
          <cell r="AD768" t="b">
            <v>0</v>
          </cell>
          <cell r="AE768" t="b">
            <v>0</v>
          </cell>
          <cell r="AF768" t="str">
            <v/>
          </cell>
        </row>
        <row r="769">
          <cell r="AA769" t="b">
            <v>0</v>
          </cell>
          <cell r="AB769" t="b">
            <v>0</v>
          </cell>
          <cell r="AC769" t="b">
            <v>0</v>
          </cell>
          <cell r="AD769" t="b">
            <v>0</v>
          </cell>
          <cell r="AE769" t="b">
            <v>0</v>
          </cell>
          <cell r="AF769" t="str">
            <v/>
          </cell>
        </row>
        <row r="770">
          <cell r="AA770" t="b">
            <v>0</v>
          </cell>
          <cell r="AB770" t="b">
            <v>0</v>
          </cell>
          <cell r="AC770" t="b">
            <v>0</v>
          </cell>
          <cell r="AD770" t="b">
            <v>0</v>
          </cell>
          <cell r="AE770" t="b">
            <v>0</v>
          </cell>
          <cell r="AF770" t="str">
            <v/>
          </cell>
        </row>
        <row r="771">
          <cell r="AA771" t="b">
            <v>0</v>
          </cell>
          <cell r="AB771" t="b">
            <v>0</v>
          </cell>
          <cell r="AC771" t="b">
            <v>0</v>
          </cell>
          <cell r="AD771" t="b">
            <v>0</v>
          </cell>
          <cell r="AE771" t="b">
            <v>0</v>
          </cell>
          <cell r="AF771" t="str">
            <v/>
          </cell>
        </row>
        <row r="772">
          <cell r="AA772" t="b">
            <v>0</v>
          </cell>
          <cell r="AB772" t="b">
            <v>0</v>
          </cell>
          <cell r="AC772" t="b">
            <v>0</v>
          </cell>
          <cell r="AD772" t="b">
            <v>0</v>
          </cell>
          <cell r="AE772" t="b">
            <v>0</v>
          </cell>
          <cell r="AF772" t="str">
            <v/>
          </cell>
        </row>
        <row r="773">
          <cell r="AA773" t="b">
            <v>0</v>
          </cell>
          <cell r="AB773" t="b">
            <v>0</v>
          </cell>
          <cell r="AC773" t="b">
            <v>0</v>
          </cell>
          <cell r="AD773" t="b">
            <v>0</v>
          </cell>
          <cell r="AE773" t="b">
            <v>0</v>
          </cell>
          <cell r="AF773" t="str">
            <v/>
          </cell>
        </row>
        <row r="774">
          <cell r="AA774" t="b">
            <v>0</v>
          </cell>
          <cell r="AB774" t="b">
            <v>0</v>
          </cell>
          <cell r="AC774" t="b">
            <v>0</v>
          </cell>
          <cell r="AD774" t="b">
            <v>0</v>
          </cell>
          <cell r="AE774" t="b">
            <v>0</v>
          </cell>
          <cell r="AF774" t="str">
            <v/>
          </cell>
        </row>
        <row r="775">
          <cell r="AA775" t="b">
            <v>0</v>
          </cell>
          <cell r="AB775" t="b">
            <v>0</v>
          </cell>
          <cell r="AC775" t="b">
            <v>0</v>
          </cell>
          <cell r="AD775" t="b">
            <v>0</v>
          </cell>
          <cell r="AE775" t="b">
            <v>0</v>
          </cell>
          <cell r="AF775" t="str">
            <v/>
          </cell>
        </row>
        <row r="776">
          <cell r="AA776" t="b">
            <v>0</v>
          </cell>
          <cell r="AB776" t="b">
            <v>0</v>
          </cell>
          <cell r="AC776" t="b">
            <v>0</v>
          </cell>
          <cell r="AD776" t="b">
            <v>0</v>
          </cell>
          <cell r="AE776" t="b">
            <v>0</v>
          </cell>
          <cell r="AF776" t="str">
            <v/>
          </cell>
        </row>
        <row r="777">
          <cell r="AA777" t="b">
            <v>0</v>
          </cell>
          <cell r="AB777" t="b">
            <v>0</v>
          </cell>
          <cell r="AC777" t="b">
            <v>0</v>
          </cell>
          <cell r="AD777" t="b">
            <v>0</v>
          </cell>
          <cell r="AE777" t="b">
            <v>0</v>
          </cell>
          <cell r="AF777" t="str">
            <v/>
          </cell>
        </row>
        <row r="778">
          <cell r="AA778" t="b">
            <v>0</v>
          </cell>
          <cell r="AB778" t="b">
            <v>0</v>
          </cell>
          <cell r="AC778" t="b">
            <v>0</v>
          </cell>
          <cell r="AD778" t="b">
            <v>0</v>
          </cell>
          <cell r="AE778" t="b">
            <v>0</v>
          </cell>
          <cell r="AF778" t="str">
            <v/>
          </cell>
        </row>
        <row r="779">
          <cell r="AA779" t="b">
            <v>0</v>
          </cell>
          <cell r="AB779" t="b">
            <v>0</v>
          </cell>
          <cell r="AC779" t="b">
            <v>0</v>
          </cell>
          <cell r="AD779" t="b">
            <v>0</v>
          </cell>
          <cell r="AE779" t="b">
            <v>0</v>
          </cell>
          <cell r="AF779" t="str">
            <v/>
          </cell>
        </row>
        <row r="780">
          <cell r="AA780" t="b">
            <v>0</v>
          </cell>
          <cell r="AB780" t="b">
            <v>0</v>
          </cell>
          <cell r="AC780" t="b">
            <v>0</v>
          </cell>
          <cell r="AD780" t="b">
            <v>0</v>
          </cell>
          <cell r="AE780" t="b">
            <v>0</v>
          </cell>
          <cell r="AF780" t="str">
            <v/>
          </cell>
        </row>
        <row r="781">
          <cell r="AA781" t="b">
            <v>0</v>
          </cell>
          <cell r="AB781" t="b">
            <v>0</v>
          </cell>
          <cell r="AC781" t="b">
            <v>0</v>
          </cell>
          <cell r="AD781" t="b">
            <v>0</v>
          </cell>
          <cell r="AE781" t="b">
            <v>0</v>
          </cell>
          <cell r="AF781" t="str">
            <v/>
          </cell>
        </row>
        <row r="782">
          <cell r="AA782" t="b">
            <v>0</v>
          </cell>
          <cell r="AB782" t="b">
            <v>0</v>
          </cell>
          <cell r="AC782" t="b">
            <v>0</v>
          </cell>
          <cell r="AD782" t="b">
            <v>0</v>
          </cell>
          <cell r="AE782" t="b">
            <v>0</v>
          </cell>
          <cell r="AF782" t="str">
            <v/>
          </cell>
        </row>
        <row r="783">
          <cell r="AA783" t="b">
            <v>0</v>
          </cell>
          <cell r="AB783" t="b">
            <v>0</v>
          </cell>
          <cell r="AC783" t="b">
            <v>0</v>
          </cell>
          <cell r="AD783" t="b">
            <v>0</v>
          </cell>
          <cell r="AE783" t="b">
            <v>0</v>
          </cell>
          <cell r="AF783" t="str">
            <v/>
          </cell>
        </row>
        <row r="784">
          <cell r="AA784" t="b">
            <v>0</v>
          </cell>
          <cell r="AB784" t="b">
            <v>0</v>
          </cell>
          <cell r="AC784" t="b">
            <v>0</v>
          </cell>
          <cell r="AD784" t="b">
            <v>0</v>
          </cell>
          <cell r="AE784" t="b">
            <v>0</v>
          </cell>
          <cell r="AF784" t="str">
            <v/>
          </cell>
        </row>
        <row r="785">
          <cell r="AA785" t="b">
            <v>0</v>
          </cell>
          <cell r="AB785" t="b">
            <v>0</v>
          </cell>
          <cell r="AC785" t="b">
            <v>0</v>
          </cell>
          <cell r="AD785" t="b">
            <v>0</v>
          </cell>
          <cell r="AE785" t="b">
            <v>0</v>
          </cell>
          <cell r="AF785" t="str">
            <v/>
          </cell>
        </row>
        <row r="786">
          <cell r="AA786" t="b">
            <v>0</v>
          </cell>
          <cell r="AB786" t="b">
            <v>0</v>
          </cell>
          <cell r="AC786" t="b">
            <v>0</v>
          </cell>
          <cell r="AD786" t="b">
            <v>0</v>
          </cell>
          <cell r="AE786" t="b">
            <v>0</v>
          </cell>
          <cell r="AF786" t="str">
            <v/>
          </cell>
        </row>
        <row r="787">
          <cell r="AA787" t="b">
            <v>0</v>
          </cell>
          <cell r="AB787" t="b">
            <v>0</v>
          </cell>
          <cell r="AC787" t="b">
            <v>0</v>
          </cell>
          <cell r="AD787" t="b">
            <v>0</v>
          </cell>
          <cell r="AE787" t="b">
            <v>0</v>
          </cell>
          <cell r="AF787" t="str">
            <v/>
          </cell>
        </row>
        <row r="788">
          <cell r="AA788" t="b">
            <v>0</v>
          </cell>
          <cell r="AB788" t="b">
            <v>0</v>
          </cell>
          <cell r="AC788" t="b">
            <v>0</v>
          </cell>
          <cell r="AD788" t="b">
            <v>0</v>
          </cell>
          <cell r="AE788" t="b">
            <v>0</v>
          </cell>
          <cell r="AF788" t="str">
            <v/>
          </cell>
        </row>
        <row r="789">
          <cell r="AA789" t="b">
            <v>0</v>
          </cell>
          <cell r="AB789" t="b">
            <v>0</v>
          </cell>
          <cell r="AC789" t="b">
            <v>0</v>
          </cell>
          <cell r="AD789" t="b">
            <v>0</v>
          </cell>
          <cell r="AE789" t="b">
            <v>0</v>
          </cell>
          <cell r="AF789" t="str">
            <v/>
          </cell>
        </row>
        <row r="790">
          <cell r="AA790" t="b">
            <v>0</v>
          </cell>
          <cell r="AB790" t="b">
            <v>0</v>
          </cell>
          <cell r="AC790" t="b">
            <v>0</v>
          </cell>
          <cell r="AD790" t="b">
            <v>0</v>
          </cell>
          <cell r="AE790" t="b">
            <v>0</v>
          </cell>
          <cell r="AF790" t="str">
            <v/>
          </cell>
        </row>
        <row r="791">
          <cell r="AA791" t="b">
            <v>0</v>
          </cell>
          <cell r="AB791" t="b">
            <v>0</v>
          </cell>
          <cell r="AC791" t="b">
            <v>0</v>
          </cell>
          <cell r="AD791" t="b">
            <v>0</v>
          </cell>
          <cell r="AE791" t="b">
            <v>0</v>
          </cell>
          <cell r="AF791" t="str">
            <v/>
          </cell>
        </row>
        <row r="792">
          <cell r="AA792" t="b">
            <v>0</v>
          </cell>
          <cell r="AB792" t="b">
            <v>0</v>
          </cell>
          <cell r="AC792" t="b">
            <v>0</v>
          </cell>
          <cell r="AD792" t="b">
            <v>0</v>
          </cell>
          <cell r="AE792" t="b">
            <v>0</v>
          </cell>
          <cell r="AF792" t="str">
            <v/>
          </cell>
        </row>
        <row r="793">
          <cell r="AA793" t="b">
            <v>0</v>
          </cell>
          <cell r="AB793" t="b">
            <v>0</v>
          </cell>
          <cell r="AC793" t="b">
            <v>0</v>
          </cell>
          <cell r="AD793" t="b">
            <v>0</v>
          </cell>
          <cell r="AE793" t="b">
            <v>0</v>
          </cell>
          <cell r="AF793" t="str">
            <v/>
          </cell>
        </row>
        <row r="794">
          <cell r="AA794" t="b">
            <v>0</v>
          </cell>
          <cell r="AB794" t="b">
            <v>0</v>
          </cell>
          <cell r="AC794" t="b">
            <v>0</v>
          </cell>
          <cell r="AD794" t="b">
            <v>0</v>
          </cell>
          <cell r="AE794" t="b">
            <v>0</v>
          </cell>
          <cell r="AF794" t="str">
            <v/>
          </cell>
        </row>
        <row r="795">
          <cell r="AA795" t="b">
            <v>0</v>
          </cell>
          <cell r="AB795" t="b">
            <v>0</v>
          </cell>
          <cell r="AC795" t="b">
            <v>0</v>
          </cell>
          <cell r="AD795" t="b">
            <v>0</v>
          </cell>
          <cell r="AE795" t="b">
            <v>0</v>
          </cell>
          <cell r="AF795" t="str">
            <v/>
          </cell>
        </row>
        <row r="796">
          <cell r="AA796" t="b">
            <v>0</v>
          </cell>
          <cell r="AB796" t="b">
            <v>0</v>
          </cell>
          <cell r="AC796" t="b">
            <v>0</v>
          </cell>
          <cell r="AD796" t="b">
            <v>0</v>
          </cell>
          <cell r="AE796" t="b">
            <v>0</v>
          </cell>
          <cell r="AF796" t="str">
            <v/>
          </cell>
        </row>
        <row r="797">
          <cell r="AA797" t="b">
            <v>0</v>
          </cell>
          <cell r="AB797" t="b">
            <v>0</v>
          </cell>
          <cell r="AC797" t="b">
            <v>0</v>
          </cell>
          <cell r="AD797" t="b">
            <v>0</v>
          </cell>
          <cell r="AE797" t="b">
            <v>0</v>
          </cell>
          <cell r="AF797" t="str">
            <v/>
          </cell>
        </row>
        <row r="798">
          <cell r="AA798" t="b">
            <v>0</v>
          </cell>
          <cell r="AB798" t="b">
            <v>0</v>
          </cell>
          <cell r="AC798" t="b">
            <v>0</v>
          </cell>
          <cell r="AD798" t="b">
            <v>0</v>
          </cell>
          <cell r="AE798" t="b">
            <v>0</v>
          </cell>
          <cell r="AF798" t="str">
            <v/>
          </cell>
        </row>
        <row r="799">
          <cell r="AA799" t="b">
            <v>0</v>
          </cell>
          <cell r="AB799" t="b">
            <v>0</v>
          </cell>
          <cell r="AC799" t="b">
            <v>0</v>
          </cell>
          <cell r="AD799" t="b">
            <v>0</v>
          </cell>
          <cell r="AE799" t="b">
            <v>0</v>
          </cell>
          <cell r="AF799" t="str">
            <v/>
          </cell>
        </row>
        <row r="800">
          <cell r="AA800" t="b">
            <v>0</v>
          </cell>
          <cell r="AB800" t="b">
            <v>0</v>
          </cell>
          <cell r="AC800" t="b">
            <v>0</v>
          </cell>
          <cell r="AD800" t="b">
            <v>0</v>
          </cell>
          <cell r="AE800" t="b">
            <v>0</v>
          </cell>
          <cell r="AF800" t="str">
            <v/>
          </cell>
        </row>
        <row r="801">
          <cell r="AA801" t="b">
            <v>0</v>
          </cell>
          <cell r="AB801" t="b">
            <v>0</v>
          </cell>
          <cell r="AC801" t="b">
            <v>0</v>
          </cell>
          <cell r="AD801" t="b">
            <v>0</v>
          </cell>
          <cell r="AE801" t="b">
            <v>0</v>
          </cell>
          <cell r="AF801" t="str">
            <v/>
          </cell>
        </row>
        <row r="802">
          <cell r="AA802" t="b">
            <v>0</v>
          </cell>
          <cell r="AB802" t="b">
            <v>0</v>
          </cell>
          <cell r="AC802" t="b">
            <v>0</v>
          </cell>
          <cell r="AD802" t="b">
            <v>0</v>
          </cell>
          <cell r="AE802" t="b">
            <v>0</v>
          </cell>
          <cell r="AF802" t="str">
            <v/>
          </cell>
        </row>
        <row r="803">
          <cell r="AA803" t="b">
            <v>0</v>
          </cell>
          <cell r="AB803" t="b">
            <v>0</v>
          </cell>
          <cell r="AC803" t="b">
            <v>0</v>
          </cell>
          <cell r="AD803" t="b">
            <v>0</v>
          </cell>
          <cell r="AE803" t="b">
            <v>0</v>
          </cell>
          <cell r="AF803" t="str">
            <v/>
          </cell>
        </row>
        <row r="804">
          <cell r="AA804" t="b">
            <v>0</v>
          </cell>
          <cell r="AB804" t="b">
            <v>0</v>
          </cell>
          <cell r="AC804" t="b">
            <v>0</v>
          </cell>
          <cell r="AD804" t="b">
            <v>0</v>
          </cell>
          <cell r="AE804" t="b">
            <v>0</v>
          </cell>
          <cell r="AF804" t="str">
            <v/>
          </cell>
        </row>
        <row r="805">
          <cell r="AA805" t="b">
            <v>0</v>
          </cell>
          <cell r="AB805" t="b">
            <v>0</v>
          </cell>
          <cell r="AC805" t="b">
            <v>0</v>
          </cell>
          <cell r="AD805" t="b">
            <v>0</v>
          </cell>
          <cell r="AE805" t="b">
            <v>0</v>
          </cell>
          <cell r="AF805" t="str">
            <v/>
          </cell>
        </row>
        <row r="806">
          <cell r="AA806" t="b">
            <v>0</v>
          </cell>
          <cell r="AB806" t="b">
            <v>0</v>
          </cell>
          <cell r="AC806" t="b">
            <v>0</v>
          </cell>
          <cell r="AD806" t="b">
            <v>0</v>
          </cell>
          <cell r="AE806" t="b">
            <v>0</v>
          </cell>
          <cell r="AF806" t="str">
            <v/>
          </cell>
        </row>
        <row r="807">
          <cell r="AA807" t="b">
            <v>0</v>
          </cell>
          <cell r="AB807" t="b">
            <v>0</v>
          </cell>
          <cell r="AC807" t="b">
            <v>0</v>
          </cell>
          <cell r="AD807" t="b">
            <v>0</v>
          </cell>
          <cell r="AE807" t="b">
            <v>0</v>
          </cell>
          <cell r="AF807" t="str">
            <v/>
          </cell>
        </row>
        <row r="808">
          <cell r="AA808" t="b">
            <v>0</v>
          </cell>
          <cell r="AB808" t="b">
            <v>0</v>
          </cell>
          <cell r="AC808" t="b">
            <v>0</v>
          </cell>
          <cell r="AD808" t="b">
            <v>0</v>
          </cell>
          <cell r="AE808" t="b">
            <v>0</v>
          </cell>
          <cell r="AF808" t="str">
            <v/>
          </cell>
        </row>
        <row r="809">
          <cell r="AA809" t="b">
            <v>0</v>
          </cell>
          <cell r="AB809" t="b">
            <v>0</v>
          </cell>
          <cell r="AC809" t="b">
            <v>0</v>
          </cell>
          <cell r="AD809" t="b">
            <v>0</v>
          </cell>
          <cell r="AE809" t="b">
            <v>0</v>
          </cell>
          <cell r="AF809" t="str">
            <v/>
          </cell>
        </row>
        <row r="810">
          <cell r="AA810" t="b">
            <v>0</v>
          </cell>
          <cell r="AB810" t="b">
            <v>0</v>
          </cell>
          <cell r="AC810" t="b">
            <v>0</v>
          </cell>
          <cell r="AD810" t="b">
            <v>0</v>
          </cell>
          <cell r="AE810" t="b">
            <v>0</v>
          </cell>
          <cell r="AF810" t="str">
            <v/>
          </cell>
        </row>
        <row r="811">
          <cell r="AA811" t="b">
            <v>0</v>
          </cell>
          <cell r="AB811" t="b">
            <v>0</v>
          </cell>
          <cell r="AC811" t="b">
            <v>0</v>
          </cell>
          <cell r="AD811" t="b">
            <v>0</v>
          </cell>
          <cell r="AE811" t="b">
            <v>0</v>
          </cell>
          <cell r="AF811" t="str">
            <v/>
          </cell>
        </row>
        <row r="812">
          <cell r="AA812" t="b">
            <v>0</v>
          </cell>
          <cell r="AB812" t="b">
            <v>0</v>
          </cell>
          <cell r="AC812" t="b">
            <v>0</v>
          </cell>
          <cell r="AD812" t="b">
            <v>0</v>
          </cell>
          <cell r="AE812" t="b">
            <v>0</v>
          </cell>
          <cell r="AF812" t="str">
            <v/>
          </cell>
        </row>
        <row r="813">
          <cell r="AA813" t="b">
            <v>0</v>
          </cell>
          <cell r="AB813" t="b">
            <v>0</v>
          </cell>
          <cell r="AC813" t="b">
            <v>0</v>
          </cell>
          <cell r="AD813" t="b">
            <v>0</v>
          </cell>
          <cell r="AE813" t="b">
            <v>0</v>
          </cell>
          <cell r="AF813" t="str">
            <v/>
          </cell>
        </row>
        <row r="814">
          <cell r="AA814" t="b">
            <v>0</v>
          </cell>
          <cell r="AB814" t="b">
            <v>0</v>
          </cell>
          <cell r="AC814" t="b">
            <v>0</v>
          </cell>
          <cell r="AD814" t="b">
            <v>0</v>
          </cell>
          <cell r="AE814" t="b">
            <v>0</v>
          </cell>
          <cell r="AF814" t="str">
            <v/>
          </cell>
        </row>
        <row r="815">
          <cell r="AA815" t="b">
            <v>0</v>
          </cell>
          <cell r="AB815" t="b">
            <v>0</v>
          </cell>
          <cell r="AC815" t="b">
            <v>0</v>
          </cell>
          <cell r="AD815" t="b">
            <v>0</v>
          </cell>
          <cell r="AE815" t="b">
            <v>0</v>
          </cell>
          <cell r="AF815" t="str">
            <v/>
          </cell>
        </row>
        <row r="816">
          <cell r="AA816" t="b">
            <v>0</v>
          </cell>
          <cell r="AB816" t="b">
            <v>0</v>
          </cell>
          <cell r="AC816" t="b">
            <v>0</v>
          </cell>
          <cell r="AD816" t="b">
            <v>0</v>
          </cell>
          <cell r="AE816" t="b">
            <v>0</v>
          </cell>
          <cell r="AF816" t="str">
            <v/>
          </cell>
        </row>
        <row r="817">
          <cell r="AA817" t="b">
            <v>0</v>
          </cell>
          <cell r="AB817" t="b">
            <v>0</v>
          </cell>
          <cell r="AC817" t="b">
            <v>0</v>
          </cell>
          <cell r="AD817" t="b">
            <v>0</v>
          </cell>
          <cell r="AE817" t="b">
            <v>0</v>
          </cell>
          <cell r="AF817" t="str">
            <v/>
          </cell>
        </row>
        <row r="818">
          <cell r="AA818" t="b">
            <v>0</v>
          </cell>
          <cell r="AB818" t="b">
            <v>0</v>
          </cell>
          <cell r="AC818" t="b">
            <v>0</v>
          </cell>
          <cell r="AD818" t="b">
            <v>0</v>
          </cell>
          <cell r="AE818" t="b">
            <v>0</v>
          </cell>
          <cell r="AF818" t="str">
            <v/>
          </cell>
        </row>
        <row r="819">
          <cell r="AA819" t="b">
            <v>0</v>
          </cell>
          <cell r="AB819" t="b">
            <v>0</v>
          </cell>
          <cell r="AC819" t="b">
            <v>0</v>
          </cell>
          <cell r="AD819" t="b">
            <v>0</v>
          </cell>
          <cell r="AE819" t="b">
            <v>0</v>
          </cell>
          <cell r="AF819" t="str">
            <v/>
          </cell>
        </row>
        <row r="820">
          <cell r="AA820" t="b">
            <v>0</v>
          </cell>
          <cell r="AB820" t="b">
            <v>0</v>
          </cell>
          <cell r="AC820" t="b">
            <v>0</v>
          </cell>
          <cell r="AD820" t="b">
            <v>0</v>
          </cell>
          <cell r="AE820" t="b">
            <v>0</v>
          </cell>
          <cell r="AF820" t="str">
            <v/>
          </cell>
        </row>
        <row r="821">
          <cell r="AA821" t="b">
            <v>0</v>
          </cell>
          <cell r="AB821" t="b">
            <v>0</v>
          </cell>
          <cell r="AC821" t="b">
            <v>0</v>
          </cell>
          <cell r="AD821" t="b">
            <v>0</v>
          </cell>
          <cell r="AE821" t="b">
            <v>0</v>
          </cell>
          <cell r="AF821" t="str">
            <v/>
          </cell>
        </row>
        <row r="822">
          <cell r="AA822" t="b">
            <v>0</v>
          </cell>
          <cell r="AB822" t="b">
            <v>0</v>
          </cell>
          <cell r="AC822" t="b">
            <v>0</v>
          </cell>
          <cell r="AD822" t="b">
            <v>0</v>
          </cell>
          <cell r="AE822" t="b">
            <v>0</v>
          </cell>
          <cell r="AF822" t="str">
            <v/>
          </cell>
        </row>
        <row r="823">
          <cell r="AA823" t="b">
            <v>0</v>
          </cell>
          <cell r="AB823" t="b">
            <v>0</v>
          </cell>
          <cell r="AC823" t="b">
            <v>0</v>
          </cell>
          <cell r="AD823" t="b">
            <v>0</v>
          </cell>
          <cell r="AE823" t="b">
            <v>0</v>
          </cell>
          <cell r="AF823" t="str">
            <v/>
          </cell>
        </row>
        <row r="824">
          <cell r="AA824" t="b">
            <v>0</v>
          </cell>
          <cell r="AB824" t="b">
            <v>0</v>
          </cell>
          <cell r="AC824" t="b">
            <v>0</v>
          </cell>
          <cell r="AD824" t="b">
            <v>0</v>
          </cell>
          <cell r="AE824" t="b">
            <v>0</v>
          </cell>
          <cell r="AF824" t="str">
            <v/>
          </cell>
        </row>
        <row r="825">
          <cell r="AA825" t="b">
            <v>0</v>
          </cell>
          <cell r="AB825" t="b">
            <v>0</v>
          </cell>
          <cell r="AC825" t="b">
            <v>0</v>
          </cell>
          <cell r="AD825" t="b">
            <v>0</v>
          </cell>
          <cell r="AE825" t="b">
            <v>0</v>
          </cell>
          <cell r="AF825" t="str">
            <v/>
          </cell>
        </row>
        <row r="826">
          <cell r="AA826" t="b">
            <v>0</v>
          </cell>
          <cell r="AB826" t="b">
            <v>0</v>
          </cell>
          <cell r="AC826" t="b">
            <v>0</v>
          </cell>
          <cell r="AD826" t="b">
            <v>0</v>
          </cell>
          <cell r="AE826" t="b">
            <v>0</v>
          </cell>
          <cell r="AF826" t="str">
            <v/>
          </cell>
        </row>
        <row r="827">
          <cell r="AA827" t="b">
            <v>0</v>
          </cell>
          <cell r="AB827" t="b">
            <v>0</v>
          </cell>
          <cell r="AC827" t="b">
            <v>0</v>
          </cell>
          <cell r="AD827" t="b">
            <v>0</v>
          </cell>
          <cell r="AE827" t="b">
            <v>0</v>
          </cell>
          <cell r="AF827" t="str">
            <v/>
          </cell>
        </row>
        <row r="828">
          <cell r="AA828" t="b">
            <v>0</v>
          </cell>
          <cell r="AB828" t="b">
            <v>0</v>
          </cell>
          <cell r="AC828" t="b">
            <v>0</v>
          </cell>
          <cell r="AD828" t="b">
            <v>0</v>
          </cell>
          <cell r="AE828" t="b">
            <v>0</v>
          </cell>
          <cell r="AF828" t="str">
            <v/>
          </cell>
        </row>
        <row r="829">
          <cell r="AA829" t="b">
            <v>0</v>
          </cell>
          <cell r="AB829" t="b">
            <v>0</v>
          </cell>
          <cell r="AC829" t="b">
            <v>0</v>
          </cell>
          <cell r="AD829" t="b">
            <v>0</v>
          </cell>
          <cell r="AE829" t="b">
            <v>0</v>
          </cell>
          <cell r="AF829" t="str">
            <v/>
          </cell>
        </row>
        <row r="830">
          <cell r="AA830" t="b">
            <v>0</v>
          </cell>
          <cell r="AB830" t="b">
            <v>0</v>
          </cell>
          <cell r="AC830" t="b">
            <v>0</v>
          </cell>
          <cell r="AD830" t="b">
            <v>0</v>
          </cell>
          <cell r="AE830" t="b">
            <v>0</v>
          </cell>
          <cell r="AF830" t="str">
            <v/>
          </cell>
        </row>
        <row r="831">
          <cell r="AA831" t="b">
            <v>0</v>
          </cell>
          <cell r="AB831" t="b">
            <v>0</v>
          </cell>
          <cell r="AC831" t="b">
            <v>0</v>
          </cell>
          <cell r="AD831" t="b">
            <v>0</v>
          </cell>
          <cell r="AE831" t="b">
            <v>0</v>
          </cell>
          <cell r="AF831" t="str">
            <v/>
          </cell>
        </row>
        <row r="832">
          <cell r="AA832" t="b">
            <v>0</v>
          </cell>
          <cell r="AB832" t="b">
            <v>0</v>
          </cell>
          <cell r="AC832" t="b">
            <v>0</v>
          </cell>
          <cell r="AD832" t="b">
            <v>0</v>
          </cell>
          <cell r="AE832" t="b">
            <v>0</v>
          </cell>
          <cell r="AF832" t="str">
            <v/>
          </cell>
        </row>
        <row r="833">
          <cell r="AA833" t="b">
            <v>0</v>
          </cell>
          <cell r="AB833" t="b">
            <v>0</v>
          </cell>
          <cell r="AC833" t="b">
            <v>0</v>
          </cell>
          <cell r="AD833" t="b">
            <v>0</v>
          </cell>
          <cell r="AE833" t="b">
            <v>0</v>
          </cell>
          <cell r="AF833" t="str">
            <v/>
          </cell>
        </row>
        <row r="834">
          <cell r="AA834" t="b">
            <v>0</v>
          </cell>
          <cell r="AB834" t="b">
            <v>0</v>
          </cell>
          <cell r="AC834" t="b">
            <v>0</v>
          </cell>
          <cell r="AD834" t="b">
            <v>0</v>
          </cell>
          <cell r="AE834" t="b">
            <v>0</v>
          </cell>
          <cell r="AF834" t="str">
            <v/>
          </cell>
        </row>
        <row r="835">
          <cell r="AA835" t="b">
            <v>0</v>
          </cell>
          <cell r="AB835" t="b">
            <v>0</v>
          </cell>
          <cell r="AC835" t="b">
            <v>0</v>
          </cell>
          <cell r="AD835" t="b">
            <v>0</v>
          </cell>
          <cell r="AE835" t="b">
            <v>0</v>
          </cell>
          <cell r="AF835" t="str">
            <v/>
          </cell>
        </row>
        <row r="836">
          <cell r="AA836" t="b">
            <v>0</v>
          </cell>
          <cell r="AB836" t="b">
            <v>0</v>
          </cell>
          <cell r="AC836" t="b">
            <v>0</v>
          </cell>
          <cell r="AD836" t="b">
            <v>0</v>
          </cell>
          <cell r="AE836" t="b">
            <v>0</v>
          </cell>
          <cell r="AF836" t="str">
            <v/>
          </cell>
        </row>
        <row r="837">
          <cell r="AA837" t="b">
            <v>0</v>
          </cell>
          <cell r="AB837" t="b">
            <v>0</v>
          </cell>
          <cell r="AC837" t="b">
            <v>0</v>
          </cell>
          <cell r="AD837" t="b">
            <v>0</v>
          </cell>
          <cell r="AE837" t="b">
            <v>0</v>
          </cell>
          <cell r="AF837" t="str">
            <v/>
          </cell>
        </row>
        <row r="838">
          <cell r="AA838" t="b">
            <v>0</v>
          </cell>
          <cell r="AB838" t="b">
            <v>0</v>
          </cell>
          <cell r="AC838" t="b">
            <v>0</v>
          </cell>
          <cell r="AD838" t="b">
            <v>0</v>
          </cell>
          <cell r="AE838" t="b">
            <v>0</v>
          </cell>
          <cell r="AF838" t="str">
            <v/>
          </cell>
        </row>
        <row r="839">
          <cell r="AA839" t="b">
            <v>0</v>
          </cell>
          <cell r="AB839" t="b">
            <v>0</v>
          </cell>
          <cell r="AC839" t="b">
            <v>0</v>
          </cell>
          <cell r="AD839" t="b">
            <v>0</v>
          </cell>
          <cell r="AE839" t="b">
            <v>0</v>
          </cell>
          <cell r="AF839" t="str">
            <v/>
          </cell>
        </row>
        <row r="840">
          <cell r="AA840" t="b">
            <v>0</v>
          </cell>
          <cell r="AB840" t="b">
            <v>0</v>
          </cell>
          <cell r="AC840" t="b">
            <v>0</v>
          </cell>
          <cell r="AD840" t="b">
            <v>0</v>
          </cell>
          <cell r="AE840" t="b">
            <v>0</v>
          </cell>
          <cell r="AF840" t="str">
            <v/>
          </cell>
        </row>
        <row r="841">
          <cell r="AA841" t="b">
            <v>0</v>
          </cell>
          <cell r="AB841" t="b">
            <v>0</v>
          </cell>
          <cell r="AC841" t="b">
            <v>0</v>
          </cell>
          <cell r="AD841" t="b">
            <v>0</v>
          </cell>
          <cell r="AE841" t="b">
            <v>0</v>
          </cell>
          <cell r="AF841" t="str">
            <v/>
          </cell>
        </row>
        <row r="842">
          <cell r="AA842" t="b">
            <v>0</v>
          </cell>
          <cell r="AB842" t="b">
            <v>0</v>
          </cell>
          <cell r="AC842" t="b">
            <v>0</v>
          </cell>
          <cell r="AD842" t="b">
            <v>0</v>
          </cell>
          <cell r="AE842" t="b">
            <v>0</v>
          </cell>
          <cell r="AF842" t="str">
            <v/>
          </cell>
        </row>
        <row r="843">
          <cell r="AA843" t="b">
            <v>0</v>
          </cell>
          <cell r="AB843" t="b">
            <v>0</v>
          </cell>
          <cell r="AC843" t="b">
            <v>0</v>
          </cell>
          <cell r="AD843" t="b">
            <v>0</v>
          </cell>
          <cell r="AE843" t="b">
            <v>0</v>
          </cell>
          <cell r="AF843" t="str">
            <v/>
          </cell>
        </row>
        <row r="844">
          <cell r="AA844" t="b">
            <v>0</v>
          </cell>
          <cell r="AB844" t="b">
            <v>0</v>
          </cell>
          <cell r="AC844" t="b">
            <v>0</v>
          </cell>
          <cell r="AD844" t="b">
            <v>0</v>
          </cell>
          <cell r="AE844" t="b">
            <v>0</v>
          </cell>
          <cell r="AF844" t="str">
            <v/>
          </cell>
        </row>
        <row r="845">
          <cell r="AA845" t="b">
            <v>0</v>
          </cell>
          <cell r="AB845" t="b">
            <v>0</v>
          </cell>
          <cell r="AC845" t="b">
            <v>0</v>
          </cell>
          <cell r="AD845" t="b">
            <v>0</v>
          </cell>
          <cell r="AE845" t="b">
            <v>0</v>
          </cell>
          <cell r="AF845" t="str">
            <v/>
          </cell>
        </row>
        <row r="846">
          <cell r="AA846" t="b">
            <v>0</v>
          </cell>
          <cell r="AB846" t="b">
            <v>0</v>
          </cell>
          <cell r="AC846" t="b">
            <v>0</v>
          </cell>
          <cell r="AD846" t="b">
            <v>0</v>
          </cell>
          <cell r="AE846" t="b">
            <v>0</v>
          </cell>
          <cell r="AF846" t="str">
            <v/>
          </cell>
        </row>
        <row r="847">
          <cell r="AA847" t="b">
            <v>0</v>
          </cell>
          <cell r="AB847" t="b">
            <v>0</v>
          </cell>
          <cell r="AC847" t="b">
            <v>0</v>
          </cell>
          <cell r="AD847" t="b">
            <v>0</v>
          </cell>
          <cell r="AE847" t="b">
            <v>0</v>
          </cell>
          <cell r="AF847" t="str">
            <v/>
          </cell>
        </row>
        <row r="848">
          <cell r="AA848" t="b">
            <v>0</v>
          </cell>
          <cell r="AB848" t="b">
            <v>0</v>
          </cell>
          <cell r="AC848" t="b">
            <v>0</v>
          </cell>
          <cell r="AD848" t="b">
            <v>0</v>
          </cell>
          <cell r="AE848" t="b">
            <v>0</v>
          </cell>
          <cell r="AF848" t="str">
            <v/>
          </cell>
        </row>
        <row r="849">
          <cell r="AA849" t="b">
            <v>0</v>
          </cell>
          <cell r="AB849" t="b">
            <v>0</v>
          </cell>
          <cell r="AC849" t="b">
            <v>0</v>
          </cell>
          <cell r="AD849" t="b">
            <v>0</v>
          </cell>
          <cell r="AE849" t="b">
            <v>0</v>
          </cell>
          <cell r="AF849" t="str">
            <v/>
          </cell>
        </row>
        <row r="850">
          <cell r="AA850" t="b">
            <v>0</v>
          </cell>
          <cell r="AB850" t="b">
            <v>0</v>
          </cell>
          <cell r="AC850" t="b">
            <v>0</v>
          </cell>
          <cell r="AD850" t="b">
            <v>0</v>
          </cell>
          <cell r="AE850" t="b">
            <v>0</v>
          </cell>
          <cell r="AF850" t="str">
            <v/>
          </cell>
        </row>
        <row r="851">
          <cell r="AA851" t="b">
            <v>0</v>
          </cell>
          <cell r="AB851" t="b">
            <v>0</v>
          </cell>
          <cell r="AC851" t="b">
            <v>0</v>
          </cell>
          <cell r="AD851" t="b">
            <v>0</v>
          </cell>
          <cell r="AE851" t="b">
            <v>0</v>
          </cell>
          <cell r="AF851" t="str">
            <v/>
          </cell>
        </row>
        <row r="852">
          <cell r="AA852" t="b">
            <v>0</v>
          </cell>
          <cell r="AB852" t="b">
            <v>0</v>
          </cell>
          <cell r="AC852" t="b">
            <v>0</v>
          </cell>
          <cell r="AD852" t="b">
            <v>0</v>
          </cell>
          <cell r="AE852" t="b">
            <v>0</v>
          </cell>
          <cell r="AF852" t="str">
            <v/>
          </cell>
        </row>
        <row r="853">
          <cell r="AA853" t="b">
            <v>0</v>
          </cell>
          <cell r="AB853" t="b">
            <v>0</v>
          </cell>
          <cell r="AC853" t="b">
            <v>0</v>
          </cell>
          <cell r="AD853" t="b">
            <v>0</v>
          </cell>
          <cell r="AE853" t="b">
            <v>0</v>
          </cell>
          <cell r="AF853" t="str">
            <v/>
          </cell>
        </row>
        <row r="854">
          <cell r="AA854" t="b">
            <v>0</v>
          </cell>
          <cell r="AB854" t="b">
            <v>0</v>
          </cell>
          <cell r="AC854" t="b">
            <v>0</v>
          </cell>
          <cell r="AD854" t="b">
            <v>0</v>
          </cell>
          <cell r="AE854" t="b">
            <v>0</v>
          </cell>
          <cell r="AF854" t="str">
            <v/>
          </cell>
        </row>
        <row r="855">
          <cell r="AA855" t="b">
            <v>0</v>
          </cell>
          <cell r="AB855" t="b">
            <v>0</v>
          </cell>
          <cell r="AC855" t="b">
            <v>0</v>
          </cell>
          <cell r="AD855" t="b">
            <v>0</v>
          </cell>
          <cell r="AE855" t="b">
            <v>0</v>
          </cell>
          <cell r="AF855" t="str">
            <v/>
          </cell>
        </row>
        <row r="856">
          <cell r="AA856" t="b">
            <v>0</v>
          </cell>
          <cell r="AB856" t="b">
            <v>0</v>
          </cell>
          <cell r="AC856" t="b">
            <v>0</v>
          </cell>
          <cell r="AD856" t="b">
            <v>0</v>
          </cell>
          <cell r="AE856" t="b">
            <v>0</v>
          </cell>
          <cell r="AF856" t="str">
            <v/>
          </cell>
        </row>
        <row r="857">
          <cell r="AA857" t="b">
            <v>0</v>
          </cell>
          <cell r="AB857" t="b">
            <v>0</v>
          </cell>
          <cell r="AC857" t="b">
            <v>0</v>
          </cell>
          <cell r="AD857" t="b">
            <v>0</v>
          </cell>
          <cell r="AE857" t="b">
            <v>0</v>
          </cell>
          <cell r="AF857" t="str">
            <v/>
          </cell>
        </row>
        <row r="858">
          <cell r="AA858" t="b">
            <v>0</v>
          </cell>
          <cell r="AB858" t="b">
            <v>0</v>
          </cell>
          <cell r="AC858" t="b">
            <v>0</v>
          </cell>
          <cell r="AD858" t="b">
            <v>0</v>
          </cell>
          <cell r="AE858" t="b">
            <v>0</v>
          </cell>
          <cell r="AF858" t="str">
            <v/>
          </cell>
        </row>
        <row r="859">
          <cell r="AA859" t="b">
            <v>0</v>
          </cell>
          <cell r="AB859" t="b">
            <v>0</v>
          </cell>
          <cell r="AC859" t="b">
            <v>0</v>
          </cell>
          <cell r="AD859" t="b">
            <v>0</v>
          </cell>
          <cell r="AE859" t="b">
            <v>0</v>
          </cell>
          <cell r="AF859" t="str">
            <v/>
          </cell>
        </row>
        <row r="860">
          <cell r="AA860" t="b">
            <v>0</v>
          </cell>
          <cell r="AB860" t="b">
            <v>0</v>
          </cell>
          <cell r="AC860" t="b">
            <v>0</v>
          </cell>
          <cell r="AD860" t="b">
            <v>0</v>
          </cell>
          <cell r="AE860" t="b">
            <v>0</v>
          </cell>
          <cell r="AF860" t="str">
            <v/>
          </cell>
        </row>
        <row r="861">
          <cell r="AA861" t="b">
            <v>0</v>
          </cell>
          <cell r="AB861" t="b">
            <v>0</v>
          </cell>
          <cell r="AC861" t="b">
            <v>0</v>
          </cell>
          <cell r="AD861" t="b">
            <v>0</v>
          </cell>
          <cell r="AE861" t="b">
            <v>0</v>
          </cell>
          <cell r="AF861" t="str">
            <v/>
          </cell>
        </row>
        <row r="862">
          <cell r="AA862" t="b">
            <v>0</v>
          </cell>
          <cell r="AB862" t="b">
            <v>0</v>
          </cell>
          <cell r="AC862" t="b">
            <v>0</v>
          </cell>
          <cell r="AD862" t="b">
            <v>0</v>
          </cell>
          <cell r="AE862" t="b">
            <v>0</v>
          </cell>
          <cell r="AF862" t="str">
            <v/>
          </cell>
        </row>
        <row r="863">
          <cell r="AA863" t="b">
            <v>0</v>
          </cell>
          <cell r="AB863" t="b">
            <v>0</v>
          </cell>
          <cell r="AC863" t="b">
            <v>0</v>
          </cell>
          <cell r="AD863" t="b">
            <v>0</v>
          </cell>
          <cell r="AE863" t="b">
            <v>0</v>
          </cell>
          <cell r="AF863" t="str">
            <v/>
          </cell>
        </row>
        <row r="864">
          <cell r="AA864" t="b">
            <v>0</v>
          </cell>
          <cell r="AB864" t="b">
            <v>0</v>
          </cell>
          <cell r="AC864" t="b">
            <v>0</v>
          </cell>
          <cell r="AD864" t="b">
            <v>0</v>
          </cell>
          <cell r="AE864" t="b">
            <v>0</v>
          </cell>
          <cell r="AF864" t="str">
            <v/>
          </cell>
        </row>
        <row r="865">
          <cell r="AA865" t="b">
            <v>0</v>
          </cell>
          <cell r="AB865" t="b">
            <v>0</v>
          </cell>
          <cell r="AC865" t="b">
            <v>0</v>
          </cell>
          <cell r="AD865" t="b">
            <v>0</v>
          </cell>
          <cell r="AE865" t="b">
            <v>0</v>
          </cell>
          <cell r="AF865" t="str">
            <v/>
          </cell>
        </row>
        <row r="866">
          <cell r="AA866" t="b">
            <v>0</v>
          </cell>
          <cell r="AB866" t="b">
            <v>0</v>
          </cell>
          <cell r="AC866" t="b">
            <v>0</v>
          </cell>
          <cell r="AD866" t="b">
            <v>0</v>
          </cell>
          <cell r="AE866" t="b">
            <v>0</v>
          </cell>
          <cell r="AF866" t="str">
            <v/>
          </cell>
        </row>
        <row r="867">
          <cell r="AA867" t="b">
            <v>0</v>
          </cell>
          <cell r="AB867" t="b">
            <v>0</v>
          </cell>
          <cell r="AC867" t="b">
            <v>0</v>
          </cell>
          <cell r="AD867" t="b">
            <v>0</v>
          </cell>
          <cell r="AE867" t="b">
            <v>0</v>
          </cell>
          <cell r="AF867" t="str">
            <v/>
          </cell>
        </row>
        <row r="868">
          <cell r="AA868" t="b">
            <v>0</v>
          </cell>
          <cell r="AB868" t="b">
            <v>0</v>
          </cell>
          <cell r="AC868" t="b">
            <v>0</v>
          </cell>
          <cell r="AD868" t="b">
            <v>0</v>
          </cell>
          <cell r="AE868" t="b">
            <v>0</v>
          </cell>
          <cell r="AF868" t="str">
            <v/>
          </cell>
        </row>
        <row r="869">
          <cell r="AA869" t="b">
            <v>0</v>
          </cell>
          <cell r="AB869" t="b">
            <v>0</v>
          </cell>
          <cell r="AC869" t="b">
            <v>0</v>
          </cell>
          <cell r="AD869" t="b">
            <v>0</v>
          </cell>
          <cell r="AE869" t="b">
            <v>0</v>
          </cell>
          <cell r="AF869" t="str">
            <v/>
          </cell>
        </row>
        <row r="870">
          <cell r="AA870" t="b">
            <v>0</v>
          </cell>
          <cell r="AB870" t="b">
            <v>0</v>
          </cell>
          <cell r="AC870" t="b">
            <v>0</v>
          </cell>
          <cell r="AD870" t="b">
            <v>0</v>
          </cell>
          <cell r="AE870" t="b">
            <v>0</v>
          </cell>
          <cell r="AF870" t="str">
            <v/>
          </cell>
        </row>
        <row r="871">
          <cell r="AA871" t="b">
            <v>0</v>
          </cell>
          <cell r="AB871" t="b">
            <v>0</v>
          </cell>
          <cell r="AC871" t="b">
            <v>0</v>
          </cell>
          <cell r="AD871" t="b">
            <v>0</v>
          </cell>
          <cell r="AE871" t="b">
            <v>0</v>
          </cell>
          <cell r="AF871" t="str">
            <v/>
          </cell>
        </row>
        <row r="872">
          <cell r="AA872" t="b">
            <v>0</v>
          </cell>
          <cell r="AB872" t="b">
            <v>0</v>
          </cell>
          <cell r="AC872" t="b">
            <v>0</v>
          </cell>
          <cell r="AD872" t="b">
            <v>0</v>
          </cell>
          <cell r="AE872" t="b">
            <v>0</v>
          </cell>
          <cell r="AF872" t="str">
            <v/>
          </cell>
        </row>
        <row r="873">
          <cell r="AA873" t="b">
            <v>0</v>
          </cell>
          <cell r="AB873" t="b">
            <v>0</v>
          </cell>
          <cell r="AC873" t="b">
            <v>0</v>
          </cell>
          <cell r="AD873" t="b">
            <v>0</v>
          </cell>
          <cell r="AE873" t="b">
            <v>0</v>
          </cell>
          <cell r="AF873" t="str">
            <v/>
          </cell>
        </row>
        <row r="874">
          <cell r="AA874" t="b">
            <v>0</v>
          </cell>
          <cell r="AB874" t="b">
            <v>0</v>
          </cell>
          <cell r="AC874" t="b">
            <v>0</v>
          </cell>
          <cell r="AD874" t="b">
            <v>0</v>
          </cell>
          <cell r="AE874" t="b">
            <v>0</v>
          </cell>
          <cell r="AF874" t="str">
            <v/>
          </cell>
        </row>
        <row r="875">
          <cell r="AA875" t="b">
            <v>0</v>
          </cell>
          <cell r="AB875" t="b">
            <v>0</v>
          </cell>
          <cell r="AC875" t="b">
            <v>0</v>
          </cell>
          <cell r="AD875" t="b">
            <v>0</v>
          </cell>
          <cell r="AE875" t="b">
            <v>0</v>
          </cell>
          <cell r="AF875" t="str">
            <v/>
          </cell>
        </row>
        <row r="876">
          <cell r="AA876" t="b">
            <v>0</v>
          </cell>
          <cell r="AB876" t="b">
            <v>0</v>
          </cell>
          <cell r="AC876" t="b">
            <v>0</v>
          </cell>
          <cell r="AD876" t="b">
            <v>0</v>
          </cell>
          <cell r="AE876" t="b">
            <v>0</v>
          </cell>
          <cell r="AF876" t="str">
            <v/>
          </cell>
        </row>
        <row r="877">
          <cell r="AA877" t="b">
            <v>0</v>
          </cell>
          <cell r="AB877" t="b">
            <v>0</v>
          </cell>
          <cell r="AC877" t="b">
            <v>0</v>
          </cell>
          <cell r="AD877" t="b">
            <v>0</v>
          </cell>
          <cell r="AE877" t="b">
            <v>0</v>
          </cell>
          <cell r="AF877" t="str">
            <v/>
          </cell>
        </row>
        <row r="878">
          <cell r="AA878" t="b">
            <v>0</v>
          </cell>
          <cell r="AB878" t="b">
            <v>0</v>
          </cell>
          <cell r="AC878" t="b">
            <v>0</v>
          </cell>
          <cell r="AD878" t="b">
            <v>0</v>
          </cell>
          <cell r="AE878" t="b">
            <v>0</v>
          </cell>
          <cell r="AF878" t="str">
            <v/>
          </cell>
        </row>
        <row r="879">
          <cell r="AA879" t="b">
            <v>0</v>
          </cell>
          <cell r="AB879" t="b">
            <v>0</v>
          </cell>
          <cell r="AC879" t="b">
            <v>0</v>
          </cell>
          <cell r="AD879" t="b">
            <v>0</v>
          </cell>
          <cell r="AE879" t="b">
            <v>0</v>
          </cell>
          <cell r="AF879" t="str">
            <v/>
          </cell>
        </row>
        <row r="880">
          <cell r="AA880" t="b">
            <v>0</v>
          </cell>
          <cell r="AB880" t="b">
            <v>0</v>
          </cell>
          <cell r="AC880" t="b">
            <v>0</v>
          </cell>
          <cell r="AD880" t="b">
            <v>0</v>
          </cell>
          <cell r="AE880" t="b">
            <v>0</v>
          </cell>
          <cell r="AF880" t="str">
            <v/>
          </cell>
        </row>
        <row r="881">
          <cell r="AA881" t="b">
            <v>0</v>
          </cell>
          <cell r="AB881" t="b">
            <v>0</v>
          </cell>
          <cell r="AC881" t="b">
            <v>0</v>
          </cell>
          <cell r="AD881" t="b">
            <v>0</v>
          </cell>
          <cell r="AE881" t="b">
            <v>0</v>
          </cell>
          <cell r="AF881" t="str">
            <v/>
          </cell>
        </row>
        <row r="882">
          <cell r="AA882" t="b">
            <v>0</v>
          </cell>
          <cell r="AB882" t="b">
            <v>0</v>
          </cell>
          <cell r="AC882" t="b">
            <v>0</v>
          </cell>
          <cell r="AD882" t="b">
            <v>0</v>
          </cell>
          <cell r="AE882" t="b">
            <v>0</v>
          </cell>
          <cell r="AF882" t="str">
            <v/>
          </cell>
        </row>
        <row r="883">
          <cell r="AA883" t="b">
            <v>0</v>
          </cell>
          <cell r="AB883" t="b">
            <v>0</v>
          </cell>
          <cell r="AC883" t="b">
            <v>0</v>
          </cell>
          <cell r="AD883" t="b">
            <v>0</v>
          </cell>
          <cell r="AE883" t="b">
            <v>0</v>
          </cell>
          <cell r="AF883" t="str">
            <v/>
          </cell>
        </row>
        <row r="884">
          <cell r="AA884" t="b">
            <v>0</v>
          </cell>
          <cell r="AB884" t="b">
            <v>0</v>
          </cell>
          <cell r="AC884" t="b">
            <v>0</v>
          </cell>
          <cell r="AD884" t="b">
            <v>0</v>
          </cell>
          <cell r="AE884" t="b">
            <v>0</v>
          </cell>
          <cell r="AF884" t="str">
            <v/>
          </cell>
        </row>
        <row r="885">
          <cell r="AA885" t="b">
            <v>0</v>
          </cell>
          <cell r="AB885" t="b">
            <v>0</v>
          </cell>
          <cell r="AC885" t="b">
            <v>0</v>
          </cell>
          <cell r="AD885" t="b">
            <v>0</v>
          </cell>
          <cell r="AE885" t="b">
            <v>0</v>
          </cell>
          <cell r="AF885" t="str">
            <v/>
          </cell>
        </row>
        <row r="886">
          <cell r="AA886" t="b">
            <v>0</v>
          </cell>
          <cell r="AB886" t="b">
            <v>0</v>
          </cell>
          <cell r="AC886" t="b">
            <v>0</v>
          </cell>
          <cell r="AD886" t="b">
            <v>0</v>
          </cell>
          <cell r="AE886" t="b">
            <v>0</v>
          </cell>
          <cell r="AF886" t="str">
            <v/>
          </cell>
        </row>
        <row r="887">
          <cell r="AA887" t="b">
            <v>0</v>
          </cell>
          <cell r="AB887" t="b">
            <v>0</v>
          </cell>
          <cell r="AC887" t="b">
            <v>0</v>
          </cell>
          <cell r="AD887" t="b">
            <v>0</v>
          </cell>
          <cell r="AE887" t="b">
            <v>0</v>
          </cell>
          <cell r="AF887" t="str">
            <v/>
          </cell>
        </row>
        <row r="888">
          <cell r="AA888" t="b">
            <v>0</v>
          </cell>
          <cell r="AB888" t="b">
            <v>0</v>
          </cell>
          <cell r="AC888" t="b">
            <v>0</v>
          </cell>
          <cell r="AD888" t="b">
            <v>0</v>
          </cell>
          <cell r="AE888" t="b">
            <v>0</v>
          </cell>
          <cell r="AF888" t="str">
            <v/>
          </cell>
        </row>
        <row r="889">
          <cell r="AA889" t="b">
            <v>0</v>
          </cell>
          <cell r="AB889" t="b">
            <v>0</v>
          </cell>
          <cell r="AC889" t="b">
            <v>0</v>
          </cell>
          <cell r="AD889" t="b">
            <v>0</v>
          </cell>
          <cell r="AE889" t="b">
            <v>0</v>
          </cell>
          <cell r="AF889" t="str">
            <v/>
          </cell>
        </row>
        <row r="890">
          <cell r="AA890" t="b">
            <v>0</v>
          </cell>
          <cell r="AB890" t="b">
            <v>0</v>
          </cell>
          <cell r="AC890" t="b">
            <v>0</v>
          </cell>
          <cell r="AD890" t="b">
            <v>0</v>
          </cell>
          <cell r="AE890" t="b">
            <v>0</v>
          </cell>
          <cell r="AF890" t="str">
            <v/>
          </cell>
        </row>
        <row r="891">
          <cell r="AA891" t="b">
            <v>0</v>
          </cell>
          <cell r="AB891" t="b">
            <v>0</v>
          </cell>
          <cell r="AC891" t="b">
            <v>0</v>
          </cell>
          <cell r="AD891" t="b">
            <v>0</v>
          </cell>
          <cell r="AE891" t="b">
            <v>0</v>
          </cell>
          <cell r="AF891" t="str">
            <v/>
          </cell>
        </row>
        <row r="892">
          <cell r="AA892" t="b">
            <v>0</v>
          </cell>
          <cell r="AB892" t="b">
            <v>0</v>
          </cell>
          <cell r="AC892" t="b">
            <v>0</v>
          </cell>
          <cell r="AD892" t="b">
            <v>0</v>
          </cell>
          <cell r="AE892" t="b">
            <v>0</v>
          </cell>
          <cell r="AF892" t="str">
            <v/>
          </cell>
        </row>
        <row r="893">
          <cell r="AA893" t="b">
            <v>0</v>
          </cell>
          <cell r="AB893" t="b">
            <v>0</v>
          </cell>
          <cell r="AC893" t="b">
            <v>0</v>
          </cell>
          <cell r="AD893" t="b">
            <v>0</v>
          </cell>
          <cell r="AE893" t="b">
            <v>0</v>
          </cell>
          <cell r="AF893" t="str">
            <v/>
          </cell>
        </row>
        <row r="894">
          <cell r="AA894" t="b">
            <v>0</v>
          </cell>
          <cell r="AB894" t="b">
            <v>0</v>
          </cell>
          <cell r="AC894" t="b">
            <v>0</v>
          </cell>
          <cell r="AD894" t="b">
            <v>0</v>
          </cell>
          <cell r="AE894" t="b">
            <v>0</v>
          </cell>
          <cell r="AF894" t="str">
            <v/>
          </cell>
        </row>
        <row r="895">
          <cell r="AA895" t="b">
            <v>0</v>
          </cell>
          <cell r="AB895" t="b">
            <v>0</v>
          </cell>
          <cell r="AC895" t="b">
            <v>0</v>
          </cell>
          <cell r="AD895" t="b">
            <v>0</v>
          </cell>
          <cell r="AE895" t="b">
            <v>0</v>
          </cell>
          <cell r="AF895" t="str">
            <v/>
          </cell>
        </row>
        <row r="896">
          <cell r="AA896" t="b">
            <v>0</v>
          </cell>
          <cell r="AB896" t="b">
            <v>0</v>
          </cell>
          <cell r="AC896" t="b">
            <v>0</v>
          </cell>
          <cell r="AD896" t="b">
            <v>0</v>
          </cell>
          <cell r="AE896" t="b">
            <v>0</v>
          </cell>
          <cell r="AF896" t="str">
            <v/>
          </cell>
        </row>
        <row r="897">
          <cell r="AA897" t="b">
            <v>0</v>
          </cell>
          <cell r="AB897" t="b">
            <v>0</v>
          </cell>
          <cell r="AC897" t="b">
            <v>0</v>
          </cell>
          <cell r="AD897" t="b">
            <v>0</v>
          </cell>
          <cell r="AE897" t="b">
            <v>0</v>
          </cell>
          <cell r="AF897" t="str">
            <v/>
          </cell>
        </row>
        <row r="898">
          <cell r="AA898" t="b">
            <v>0</v>
          </cell>
          <cell r="AB898" t="b">
            <v>0</v>
          </cell>
          <cell r="AC898" t="b">
            <v>0</v>
          </cell>
          <cell r="AD898" t="b">
            <v>0</v>
          </cell>
          <cell r="AE898" t="b">
            <v>0</v>
          </cell>
          <cell r="AF898" t="str">
            <v/>
          </cell>
        </row>
        <row r="899">
          <cell r="AA899" t="b">
            <v>0</v>
          </cell>
          <cell r="AB899" t="b">
            <v>0</v>
          </cell>
          <cell r="AC899" t="b">
            <v>0</v>
          </cell>
          <cell r="AD899" t="b">
            <v>0</v>
          </cell>
          <cell r="AE899" t="b">
            <v>0</v>
          </cell>
          <cell r="AF899" t="str">
            <v/>
          </cell>
        </row>
        <row r="900">
          <cell r="AA900" t="b">
            <v>0</v>
          </cell>
          <cell r="AB900" t="b">
            <v>0</v>
          </cell>
          <cell r="AC900" t="b">
            <v>0</v>
          </cell>
          <cell r="AD900" t="b">
            <v>0</v>
          </cell>
          <cell r="AE900" t="b">
            <v>0</v>
          </cell>
          <cell r="AF900" t="str">
            <v/>
          </cell>
        </row>
        <row r="901">
          <cell r="AA901" t="b">
            <v>0</v>
          </cell>
          <cell r="AB901" t="b">
            <v>0</v>
          </cell>
          <cell r="AC901" t="b">
            <v>0</v>
          </cell>
          <cell r="AD901" t="b">
            <v>0</v>
          </cell>
          <cell r="AE901" t="b">
            <v>0</v>
          </cell>
          <cell r="AF901" t="str">
            <v/>
          </cell>
        </row>
        <row r="902">
          <cell r="AA902" t="b">
            <v>0</v>
          </cell>
          <cell r="AB902" t="b">
            <v>0</v>
          </cell>
          <cell r="AC902" t="b">
            <v>0</v>
          </cell>
          <cell r="AD902" t="b">
            <v>0</v>
          </cell>
          <cell r="AE902" t="b">
            <v>0</v>
          </cell>
          <cell r="AF902" t="str">
            <v/>
          </cell>
        </row>
        <row r="903">
          <cell r="AA903" t="b">
            <v>0</v>
          </cell>
          <cell r="AB903" t="b">
            <v>0</v>
          </cell>
          <cell r="AC903" t="b">
            <v>0</v>
          </cell>
          <cell r="AD903" t="b">
            <v>0</v>
          </cell>
          <cell r="AE903" t="b">
            <v>0</v>
          </cell>
          <cell r="AF903" t="str">
            <v/>
          </cell>
        </row>
        <row r="904">
          <cell r="AA904" t="b">
            <v>0</v>
          </cell>
          <cell r="AB904" t="b">
            <v>0</v>
          </cell>
          <cell r="AC904" t="b">
            <v>0</v>
          </cell>
          <cell r="AD904" t="b">
            <v>0</v>
          </cell>
          <cell r="AE904" t="b">
            <v>0</v>
          </cell>
          <cell r="AF904" t="str">
            <v/>
          </cell>
        </row>
        <row r="905">
          <cell r="AA905" t="b">
            <v>0</v>
          </cell>
          <cell r="AB905" t="b">
            <v>0</v>
          </cell>
          <cell r="AC905" t="b">
            <v>0</v>
          </cell>
          <cell r="AD905" t="b">
            <v>0</v>
          </cell>
          <cell r="AE905" t="b">
            <v>0</v>
          </cell>
          <cell r="AF905" t="str">
            <v/>
          </cell>
        </row>
        <row r="906">
          <cell r="AA906" t="b">
            <v>0</v>
          </cell>
          <cell r="AB906" t="b">
            <v>0</v>
          </cell>
          <cell r="AC906" t="b">
            <v>0</v>
          </cell>
          <cell r="AD906" t="b">
            <v>0</v>
          </cell>
          <cell r="AE906" t="b">
            <v>0</v>
          </cell>
          <cell r="AF906" t="str">
            <v/>
          </cell>
        </row>
        <row r="907">
          <cell r="AA907" t="b">
            <v>0</v>
          </cell>
          <cell r="AB907" t="b">
            <v>0</v>
          </cell>
          <cell r="AC907" t="b">
            <v>0</v>
          </cell>
          <cell r="AD907" t="b">
            <v>0</v>
          </cell>
          <cell r="AE907" t="b">
            <v>0</v>
          </cell>
          <cell r="AF907" t="str">
            <v/>
          </cell>
        </row>
        <row r="908">
          <cell r="AA908" t="b">
            <v>0</v>
          </cell>
          <cell r="AB908" t="b">
            <v>0</v>
          </cell>
          <cell r="AC908" t="b">
            <v>0</v>
          </cell>
          <cell r="AD908" t="b">
            <v>0</v>
          </cell>
          <cell r="AE908" t="b">
            <v>0</v>
          </cell>
          <cell r="AF908" t="str">
            <v/>
          </cell>
        </row>
        <row r="909">
          <cell r="AA909" t="b">
            <v>0</v>
          </cell>
          <cell r="AB909" t="b">
            <v>0</v>
          </cell>
          <cell r="AC909" t="b">
            <v>0</v>
          </cell>
          <cell r="AD909" t="b">
            <v>0</v>
          </cell>
          <cell r="AE909" t="b">
            <v>0</v>
          </cell>
          <cell r="AF909" t="str">
            <v/>
          </cell>
        </row>
        <row r="910">
          <cell r="AA910" t="b">
            <v>0</v>
          </cell>
          <cell r="AB910" t="b">
            <v>0</v>
          </cell>
          <cell r="AC910" t="b">
            <v>0</v>
          </cell>
          <cell r="AD910" t="b">
            <v>0</v>
          </cell>
          <cell r="AE910" t="b">
            <v>0</v>
          </cell>
          <cell r="AF910" t="str">
            <v/>
          </cell>
        </row>
        <row r="911">
          <cell r="AA911" t="b">
            <v>0</v>
          </cell>
          <cell r="AB911" t="b">
            <v>0</v>
          </cell>
          <cell r="AC911" t="b">
            <v>0</v>
          </cell>
          <cell r="AD911" t="b">
            <v>0</v>
          </cell>
          <cell r="AE911" t="b">
            <v>0</v>
          </cell>
          <cell r="AF911" t="str">
            <v/>
          </cell>
        </row>
        <row r="912">
          <cell r="AA912" t="b">
            <v>0</v>
          </cell>
          <cell r="AB912" t="b">
            <v>0</v>
          </cell>
          <cell r="AC912" t="b">
            <v>0</v>
          </cell>
          <cell r="AD912" t="b">
            <v>0</v>
          </cell>
          <cell r="AE912" t="b">
            <v>0</v>
          </cell>
          <cell r="AF912" t="str">
            <v/>
          </cell>
        </row>
        <row r="913">
          <cell r="AA913" t="b">
            <v>0</v>
          </cell>
          <cell r="AB913" t="b">
            <v>0</v>
          </cell>
          <cell r="AC913" t="b">
            <v>0</v>
          </cell>
          <cell r="AD913" t="b">
            <v>0</v>
          </cell>
          <cell r="AE913" t="b">
            <v>0</v>
          </cell>
          <cell r="AF913" t="str">
            <v/>
          </cell>
        </row>
        <row r="914">
          <cell r="AA914" t="b">
            <v>0</v>
          </cell>
          <cell r="AB914" t="b">
            <v>0</v>
          </cell>
          <cell r="AC914" t="b">
            <v>0</v>
          </cell>
          <cell r="AD914" t="b">
            <v>0</v>
          </cell>
          <cell r="AE914" t="b">
            <v>0</v>
          </cell>
          <cell r="AF914" t="str">
            <v/>
          </cell>
        </row>
        <row r="915">
          <cell r="AA915" t="b">
            <v>0</v>
          </cell>
          <cell r="AB915" t="b">
            <v>0</v>
          </cell>
          <cell r="AC915" t="b">
            <v>0</v>
          </cell>
          <cell r="AD915" t="b">
            <v>0</v>
          </cell>
          <cell r="AE915" t="b">
            <v>0</v>
          </cell>
          <cell r="AF915" t="str">
            <v/>
          </cell>
        </row>
        <row r="916">
          <cell r="AA916" t="b">
            <v>0</v>
          </cell>
          <cell r="AB916" t="b">
            <v>0</v>
          </cell>
          <cell r="AC916" t="b">
            <v>0</v>
          </cell>
          <cell r="AD916" t="b">
            <v>0</v>
          </cell>
          <cell r="AE916" t="b">
            <v>0</v>
          </cell>
          <cell r="AF916" t="str">
            <v/>
          </cell>
        </row>
        <row r="917">
          <cell r="AA917" t="b">
            <v>0</v>
          </cell>
          <cell r="AB917" t="b">
            <v>0</v>
          </cell>
          <cell r="AC917" t="b">
            <v>0</v>
          </cell>
          <cell r="AD917" t="b">
            <v>0</v>
          </cell>
          <cell r="AE917" t="b">
            <v>0</v>
          </cell>
          <cell r="AF917" t="str">
            <v/>
          </cell>
        </row>
        <row r="918">
          <cell r="AA918" t="b">
            <v>0</v>
          </cell>
          <cell r="AB918" t="b">
            <v>0</v>
          </cell>
          <cell r="AC918" t="b">
            <v>0</v>
          </cell>
          <cell r="AD918" t="b">
            <v>0</v>
          </cell>
          <cell r="AE918" t="b">
            <v>0</v>
          </cell>
          <cell r="AF918" t="str">
            <v/>
          </cell>
        </row>
        <row r="919">
          <cell r="AA919" t="b">
            <v>0</v>
          </cell>
          <cell r="AB919" t="b">
            <v>0</v>
          </cell>
          <cell r="AC919" t="b">
            <v>0</v>
          </cell>
          <cell r="AD919" t="b">
            <v>0</v>
          </cell>
          <cell r="AE919" t="b">
            <v>0</v>
          </cell>
          <cell r="AF919" t="str">
            <v/>
          </cell>
        </row>
        <row r="920">
          <cell r="AA920" t="b">
            <v>0</v>
          </cell>
          <cell r="AB920" t="b">
            <v>0</v>
          </cell>
          <cell r="AC920" t="b">
            <v>0</v>
          </cell>
          <cell r="AD920" t="b">
            <v>0</v>
          </cell>
          <cell r="AE920" t="b">
            <v>0</v>
          </cell>
          <cell r="AF920" t="str">
            <v/>
          </cell>
        </row>
        <row r="921">
          <cell r="AA921" t="b">
            <v>0</v>
          </cell>
          <cell r="AB921" t="b">
            <v>0</v>
          </cell>
          <cell r="AC921" t="b">
            <v>0</v>
          </cell>
          <cell r="AD921" t="b">
            <v>0</v>
          </cell>
          <cell r="AE921" t="b">
            <v>0</v>
          </cell>
          <cell r="AF921" t="str">
            <v/>
          </cell>
        </row>
        <row r="922">
          <cell r="AA922" t="b">
            <v>0</v>
          </cell>
          <cell r="AB922" t="b">
            <v>0</v>
          </cell>
          <cell r="AC922" t="b">
            <v>0</v>
          </cell>
          <cell r="AD922" t="b">
            <v>0</v>
          </cell>
          <cell r="AE922" t="b">
            <v>0</v>
          </cell>
          <cell r="AF922" t="str">
            <v/>
          </cell>
        </row>
        <row r="923">
          <cell r="AA923" t="b">
            <v>0</v>
          </cell>
          <cell r="AB923" t="b">
            <v>0</v>
          </cell>
          <cell r="AC923" t="b">
            <v>0</v>
          </cell>
          <cell r="AD923" t="b">
            <v>0</v>
          </cell>
          <cell r="AE923" t="b">
            <v>0</v>
          </cell>
          <cell r="AF923" t="str">
            <v/>
          </cell>
        </row>
        <row r="924">
          <cell r="AA924" t="b">
            <v>0</v>
          </cell>
          <cell r="AB924" t="b">
            <v>0</v>
          </cell>
          <cell r="AC924" t="b">
            <v>0</v>
          </cell>
          <cell r="AD924" t="b">
            <v>0</v>
          </cell>
          <cell r="AE924" t="b">
            <v>0</v>
          </cell>
          <cell r="AF924" t="str">
            <v/>
          </cell>
        </row>
        <row r="925">
          <cell r="AA925" t="b">
            <v>0</v>
          </cell>
          <cell r="AB925" t="b">
            <v>0</v>
          </cell>
          <cell r="AC925" t="b">
            <v>0</v>
          </cell>
          <cell r="AD925" t="b">
            <v>0</v>
          </cell>
          <cell r="AE925" t="b">
            <v>0</v>
          </cell>
          <cell r="AF925" t="str">
            <v/>
          </cell>
        </row>
        <row r="926">
          <cell r="AA926" t="b">
            <v>0</v>
          </cell>
          <cell r="AB926" t="b">
            <v>0</v>
          </cell>
          <cell r="AC926" t="b">
            <v>0</v>
          </cell>
          <cell r="AD926" t="b">
            <v>0</v>
          </cell>
          <cell r="AE926" t="b">
            <v>0</v>
          </cell>
          <cell r="AF926" t="str">
            <v/>
          </cell>
        </row>
        <row r="927">
          <cell r="AA927" t="b">
            <v>0</v>
          </cell>
          <cell r="AB927" t="b">
            <v>0</v>
          </cell>
          <cell r="AC927" t="b">
            <v>0</v>
          </cell>
          <cell r="AD927" t="b">
            <v>0</v>
          </cell>
          <cell r="AE927" t="b">
            <v>0</v>
          </cell>
          <cell r="AF927" t="str">
            <v/>
          </cell>
        </row>
        <row r="928">
          <cell r="AA928" t="b">
            <v>0</v>
          </cell>
          <cell r="AB928" t="b">
            <v>0</v>
          </cell>
          <cell r="AC928" t="b">
            <v>0</v>
          </cell>
          <cell r="AD928" t="b">
            <v>0</v>
          </cell>
          <cell r="AE928" t="b">
            <v>0</v>
          </cell>
          <cell r="AF928" t="str">
            <v/>
          </cell>
        </row>
        <row r="929">
          <cell r="AA929" t="b">
            <v>0</v>
          </cell>
          <cell r="AB929" t="b">
            <v>0</v>
          </cell>
          <cell r="AC929" t="b">
            <v>0</v>
          </cell>
          <cell r="AD929" t="b">
            <v>0</v>
          </cell>
          <cell r="AE929" t="b">
            <v>0</v>
          </cell>
          <cell r="AF929" t="str">
            <v/>
          </cell>
        </row>
        <row r="930">
          <cell r="AA930" t="b">
            <v>0</v>
          </cell>
          <cell r="AB930" t="b">
            <v>0</v>
          </cell>
          <cell r="AC930" t="b">
            <v>0</v>
          </cell>
          <cell r="AD930" t="b">
            <v>0</v>
          </cell>
          <cell r="AE930" t="b">
            <v>0</v>
          </cell>
          <cell r="AF930" t="str">
            <v/>
          </cell>
        </row>
        <row r="931">
          <cell r="AA931" t="b">
            <v>0</v>
          </cell>
          <cell r="AB931" t="b">
            <v>0</v>
          </cell>
          <cell r="AC931" t="b">
            <v>0</v>
          </cell>
          <cell r="AD931" t="b">
            <v>0</v>
          </cell>
          <cell r="AE931" t="b">
            <v>0</v>
          </cell>
          <cell r="AF931" t="str">
            <v/>
          </cell>
        </row>
        <row r="932">
          <cell r="AA932" t="b">
            <v>0</v>
          </cell>
          <cell r="AB932" t="b">
            <v>0</v>
          </cell>
          <cell r="AC932" t="b">
            <v>0</v>
          </cell>
          <cell r="AD932" t="b">
            <v>0</v>
          </cell>
          <cell r="AE932" t="b">
            <v>0</v>
          </cell>
          <cell r="AF932" t="str">
            <v/>
          </cell>
        </row>
        <row r="933">
          <cell r="AA933" t="b">
            <v>0</v>
          </cell>
          <cell r="AB933" t="b">
            <v>0</v>
          </cell>
          <cell r="AC933" t="b">
            <v>0</v>
          </cell>
          <cell r="AD933" t="b">
            <v>0</v>
          </cell>
          <cell r="AE933" t="b">
            <v>0</v>
          </cell>
          <cell r="AF933" t="str">
            <v/>
          </cell>
        </row>
        <row r="934">
          <cell r="AA934" t="b">
            <v>0</v>
          </cell>
          <cell r="AB934" t="b">
            <v>0</v>
          </cell>
          <cell r="AC934" t="b">
            <v>0</v>
          </cell>
          <cell r="AD934" t="b">
            <v>0</v>
          </cell>
          <cell r="AE934" t="b">
            <v>0</v>
          </cell>
          <cell r="AF934" t="str">
            <v/>
          </cell>
        </row>
        <row r="935">
          <cell r="AA935" t="b">
            <v>0</v>
          </cell>
          <cell r="AB935" t="b">
            <v>0</v>
          </cell>
          <cell r="AC935" t="b">
            <v>0</v>
          </cell>
          <cell r="AD935" t="b">
            <v>0</v>
          </cell>
          <cell r="AE935" t="b">
            <v>0</v>
          </cell>
          <cell r="AF935" t="str">
            <v/>
          </cell>
        </row>
        <row r="936">
          <cell r="AA936" t="b">
            <v>0</v>
          </cell>
          <cell r="AB936" t="b">
            <v>0</v>
          </cell>
          <cell r="AC936" t="b">
            <v>0</v>
          </cell>
          <cell r="AD936" t="b">
            <v>0</v>
          </cell>
          <cell r="AE936" t="b">
            <v>0</v>
          </cell>
          <cell r="AF936" t="str">
            <v/>
          </cell>
        </row>
        <row r="937">
          <cell r="AA937" t="b">
            <v>0</v>
          </cell>
          <cell r="AB937" t="b">
            <v>0</v>
          </cell>
          <cell r="AC937" t="b">
            <v>0</v>
          </cell>
          <cell r="AD937" t="b">
            <v>0</v>
          </cell>
          <cell r="AE937" t="b">
            <v>0</v>
          </cell>
          <cell r="AF937" t="str">
            <v/>
          </cell>
        </row>
        <row r="938">
          <cell r="AA938" t="b">
            <v>0</v>
          </cell>
          <cell r="AB938" t="b">
            <v>0</v>
          </cell>
          <cell r="AC938" t="b">
            <v>0</v>
          </cell>
          <cell r="AD938" t="b">
            <v>0</v>
          </cell>
          <cell r="AE938" t="b">
            <v>0</v>
          </cell>
          <cell r="AF938" t="str">
            <v/>
          </cell>
        </row>
        <row r="939">
          <cell r="AA939" t="b">
            <v>0</v>
          </cell>
          <cell r="AB939" t="b">
            <v>0</v>
          </cell>
          <cell r="AC939" t="b">
            <v>0</v>
          </cell>
          <cell r="AD939" t="b">
            <v>0</v>
          </cell>
          <cell r="AE939" t="b">
            <v>0</v>
          </cell>
          <cell r="AF939" t="str">
            <v/>
          </cell>
        </row>
        <row r="940">
          <cell r="AA940" t="b">
            <v>0</v>
          </cell>
          <cell r="AB940" t="b">
            <v>0</v>
          </cell>
          <cell r="AC940" t="b">
            <v>0</v>
          </cell>
          <cell r="AD940" t="b">
            <v>0</v>
          </cell>
          <cell r="AE940" t="b">
            <v>0</v>
          </cell>
          <cell r="AF940" t="str">
            <v/>
          </cell>
        </row>
        <row r="941">
          <cell r="AA941" t="b">
            <v>0</v>
          </cell>
          <cell r="AB941" t="b">
            <v>0</v>
          </cell>
          <cell r="AC941" t="b">
            <v>0</v>
          </cell>
          <cell r="AD941" t="b">
            <v>0</v>
          </cell>
          <cell r="AE941" t="b">
            <v>0</v>
          </cell>
          <cell r="AF941" t="str">
            <v/>
          </cell>
        </row>
        <row r="942">
          <cell r="AA942" t="b">
            <v>0</v>
          </cell>
          <cell r="AB942" t="b">
            <v>0</v>
          </cell>
          <cell r="AC942" t="b">
            <v>0</v>
          </cell>
          <cell r="AD942" t="b">
            <v>0</v>
          </cell>
          <cell r="AE942" t="b">
            <v>0</v>
          </cell>
          <cell r="AF942" t="str">
            <v/>
          </cell>
        </row>
        <row r="943">
          <cell r="AA943" t="b">
            <v>0</v>
          </cell>
          <cell r="AB943" t="b">
            <v>0</v>
          </cell>
          <cell r="AC943" t="b">
            <v>0</v>
          </cell>
          <cell r="AD943" t="b">
            <v>0</v>
          </cell>
          <cell r="AE943" t="b">
            <v>0</v>
          </cell>
          <cell r="AF943" t="str">
            <v/>
          </cell>
        </row>
        <row r="944">
          <cell r="AA944" t="b">
            <v>0</v>
          </cell>
          <cell r="AB944" t="b">
            <v>0</v>
          </cell>
          <cell r="AC944" t="b">
            <v>0</v>
          </cell>
          <cell r="AD944" t="b">
            <v>0</v>
          </cell>
          <cell r="AE944" t="b">
            <v>0</v>
          </cell>
          <cell r="AF944" t="str">
            <v/>
          </cell>
        </row>
        <row r="945">
          <cell r="AA945" t="b">
            <v>0</v>
          </cell>
          <cell r="AB945" t="b">
            <v>0</v>
          </cell>
          <cell r="AC945" t="b">
            <v>0</v>
          </cell>
          <cell r="AD945" t="b">
            <v>0</v>
          </cell>
          <cell r="AE945" t="b">
            <v>0</v>
          </cell>
          <cell r="AF945" t="str">
            <v/>
          </cell>
        </row>
        <row r="946">
          <cell r="AA946" t="b">
            <v>0</v>
          </cell>
          <cell r="AB946" t="b">
            <v>0</v>
          </cell>
          <cell r="AC946" t="b">
            <v>0</v>
          </cell>
          <cell r="AD946" t="b">
            <v>0</v>
          </cell>
          <cell r="AE946" t="b">
            <v>0</v>
          </cell>
          <cell r="AF946" t="str">
            <v/>
          </cell>
        </row>
        <row r="947">
          <cell r="AA947" t="b">
            <v>0</v>
          </cell>
          <cell r="AB947" t="b">
            <v>0</v>
          </cell>
          <cell r="AC947" t="b">
            <v>0</v>
          </cell>
          <cell r="AD947" t="b">
            <v>0</v>
          </cell>
          <cell r="AE947" t="b">
            <v>0</v>
          </cell>
          <cell r="AF947" t="str">
            <v/>
          </cell>
        </row>
        <row r="948">
          <cell r="AA948" t="b">
            <v>0</v>
          </cell>
          <cell r="AB948" t="b">
            <v>0</v>
          </cell>
          <cell r="AC948" t="b">
            <v>0</v>
          </cell>
          <cell r="AD948" t="b">
            <v>0</v>
          </cell>
          <cell r="AE948" t="b">
            <v>0</v>
          </cell>
          <cell r="AF948" t="str">
            <v/>
          </cell>
        </row>
        <row r="949">
          <cell r="AA949" t="b">
            <v>0</v>
          </cell>
          <cell r="AB949" t="b">
            <v>0</v>
          </cell>
          <cell r="AC949" t="b">
            <v>0</v>
          </cell>
          <cell r="AD949" t="b">
            <v>0</v>
          </cell>
          <cell r="AE949" t="b">
            <v>0</v>
          </cell>
          <cell r="AF949" t="str">
            <v/>
          </cell>
        </row>
        <row r="950">
          <cell r="AA950" t="b">
            <v>0</v>
          </cell>
          <cell r="AB950" t="b">
            <v>0</v>
          </cell>
          <cell r="AC950" t="b">
            <v>0</v>
          </cell>
          <cell r="AD950" t="b">
            <v>0</v>
          </cell>
          <cell r="AE950" t="b">
            <v>0</v>
          </cell>
          <cell r="AF950" t="str">
            <v/>
          </cell>
        </row>
        <row r="951">
          <cell r="AA951" t="b">
            <v>0</v>
          </cell>
          <cell r="AB951" t="b">
            <v>0</v>
          </cell>
          <cell r="AC951" t="b">
            <v>0</v>
          </cell>
          <cell r="AD951" t="b">
            <v>0</v>
          </cell>
          <cell r="AE951" t="b">
            <v>0</v>
          </cell>
          <cell r="AF951" t="str">
            <v/>
          </cell>
        </row>
        <row r="952">
          <cell r="AA952" t="b">
            <v>0</v>
          </cell>
          <cell r="AB952" t="b">
            <v>0</v>
          </cell>
          <cell r="AC952" t="b">
            <v>0</v>
          </cell>
          <cell r="AD952" t="b">
            <v>0</v>
          </cell>
          <cell r="AE952" t="b">
            <v>0</v>
          </cell>
          <cell r="AF952" t="str">
            <v/>
          </cell>
        </row>
        <row r="953">
          <cell r="AA953" t="b">
            <v>0</v>
          </cell>
          <cell r="AB953" t="b">
            <v>0</v>
          </cell>
          <cell r="AC953" t="b">
            <v>0</v>
          </cell>
          <cell r="AD953" t="b">
            <v>0</v>
          </cell>
          <cell r="AE953" t="b">
            <v>0</v>
          </cell>
          <cell r="AF953" t="str">
            <v/>
          </cell>
        </row>
        <row r="954">
          <cell r="AA954" t="b">
            <v>0</v>
          </cell>
          <cell r="AB954" t="b">
            <v>0</v>
          </cell>
          <cell r="AC954" t="b">
            <v>0</v>
          </cell>
          <cell r="AD954" t="b">
            <v>0</v>
          </cell>
          <cell r="AE954" t="b">
            <v>0</v>
          </cell>
          <cell r="AF954" t="str">
            <v/>
          </cell>
        </row>
        <row r="955">
          <cell r="AA955" t="b">
            <v>0</v>
          </cell>
          <cell r="AB955" t="b">
            <v>0</v>
          </cell>
          <cell r="AC955" t="b">
            <v>0</v>
          </cell>
          <cell r="AD955" t="b">
            <v>0</v>
          </cell>
          <cell r="AE955" t="b">
            <v>0</v>
          </cell>
          <cell r="AF955" t="str">
            <v/>
          </cell>
        </row>
        <row r="956">
          <cell r="AA956" t="b">
            <v>0</v>
          </cell>
          <cell r="AB956" t="b">
            <v>0</v>
          </cell>
          <cell r="AC956" t="b">
            <v>0</v>
          </cell>
          <cell r="AD956" t="b">
            <v>0</v>
          </cell>
          <cell r="AE956" t="b">
            <v>0</v>
          </cell>
          <cell r="AF956" t="str">
            <v/>
          </cell>
        </row>
        <row r="957">
          <cell r="AA957" t="b">
            <v>0</v>
          </cell>
          <cell r="AB957" t="b">
            <v>0</v>
          </cell>
          <cell r="AC957" t="b">
            <v>0</v>
          </cell>
          <cell r="AD957" t="b">
            <v>0</v>
          </cell>
          <cell r="AE957" t="b">
            <v>0</v>
          </cell>
          <cell r="AF957" t="str">
            <v/>
          </cell>
        </row>
        <row r="958">
          <cell r="AA958" t="b">
            <v>0</v>
          </cell>
          <cell r="AB958" t="b">
            <v>0</v>
          </cell>
          <cell r="AC958" t="b">
            <v>0</v>
          </cell>
          <cell r="AD958" t="b">
            <v>0</v>
          </cell>
          <cell r="AE958" t="b">
            <v>0</v>
          </cell>
          <cell r="AF958" t="str">
            <v/>
          </cell>
        </row>
        <row r="959">
          <cell r="AA959" t="b">
            <v>0</v>
          </cell>
          <cell r="AB959" t="b">
            <v>0</v>
          </cell>
          <cell r="AC959" t="b">
            <v>0</v>
          </cell>
          <cell r="AD959" t="b">
            <v>0</v>
          </cell>
          <cell r="AE959" t="b">
            <v>0</v>
          </cell>
          <cell r="AF959" t="str">
            <v/>
          </cell>
        </row>
        <row r="960">
          <cell r="AA960" t="b">
            <v>0</v>
          </cell>
          <cell r="AB960" t="b">
            <v>0</v>
          </cell>
          <cell r="AC960" t="b">
            <v>0</v>
          </cell>
          <cell r="AD960" t="b">
            <v>0</v>
          </cell>
          <cell r="AE960" t="b">
            <v>0</v>
          </cell>
          <cell r="AF960" t="str">
            <v/>
          </cell>
        </row>
        <row r="961">
          <cell r="AA961" t="b">
            <v>0</v>
          </cell>
          <cell r="AB961" t="b">
            <v>0</v>
          </cell>
          <cell r="AC961" t="b">
            <v>0</v>
          </cell>
          <cell r="AD961" t="b">
            <v>0</v>
          </cell>
          <cell r="AE961" t="b">
            <v>0</v>
          </cell>
          <cell r="AF961" t="str">
            <v/>
          </cell>
        </row>
        <row r="962">
          <cell r="AA962" t="b">
            <v>0</v>
          </cell>
          <cell r="AB962" t="b">
            <v>0</v>
          </cell>
          <cell r="AC962" t="b">
            <v>0</v>
          </cell>
          <cell r="AD962" t="b">
            <v>0</v>
          </cell>
          <cell r="AE962" t="b">
            <v>0</v>
          </cell>
          <cell r="AF962" t="str">
            <v/>
          </cell>
        </row>
        <row r="963">
          <cell r="AA963" t="b">
            <v>0</v>
          </cell>
          <cell r="AB963" t="b">
            <v>0</v>
          </cell>
          <cell r="AC963" t="b">
            <v>0</v>
          </cell>
          <cell r="AD963" t="b">
            <v>0</v>
          </cell>
          <cell r="AE963" t="b">
            <v>0</v>
          </cell>
          <cell r="AF963" t="str">
            <v/>
          </cell>
        </row>
        <row r="964">
          <cell r="AA964" t="b">
            <v>0</v>
          </cell>
          <cell r="AB964" t="b">
            <v>0</v>
          </cell>
          <cell r="AC964" t="b">
            <v>0</v>
          </cell>
          <cell r="AD964" t="b">
            <v>0</v>
          </cell>
          <cell r="AE964" t="b">
            <v>0</v>
          </cell>
          <cell r="AF964" t="str">
            <v/>
          </cell>
        </row>
        <row r="965">
          <cell r="AA965" t="b">
            <v>0</v>
          </cell>
          <cell r="AB965" t="b">
            <v>0</v>
          </cell>
          <cell r="AC965" t="b">
            <v>0</v>
          </cell>
          <cell r="AD965" t="b">
            <v>0</v>
          </cell>
          <cell r="AE965" t="b">
            <v>0</v>
          </cell>
          <cell r="AF965" t="str">
            <v/>
          </cell>
        </row>
        <row r="966">
          <cell r="AA966" t="b">
            <v>0</v>
          </cell>
          <cell r="AB966" t="b">
            <v>0</v>
          </cell>
          <cell r="AC966" t="b">
            <v>0</v>
          </cell>
          <cell r="AD966" t="b">
            <v>0</v>
          </cell>
          <cell r="AE966" t="b">
            <v>0</v>
          </cell>
          <cell r="AF966" t="str">
            <v/>
          </cell>
        </row>
        <row r="967">
          <cell r="AA967" t="b">
            <v>0</v>
          </cell>
          <cell r="AB967" t="b">
            <v>0</v>
          </cell>
          <cell r="AC967" t="b">
            <v>0</v>
          </cell>
          <cell r="AD967" t="b">
            <v>0</v>
          </cell>
          <cell r="AE967" t="b">
            <v>0</v>
          </cell>
          <cell r="AF967" t="str">
            <v/>
          </cell>
        </row>
        <row r="968">
          <cell r="AA968" t="b">
            <v>0</v>
          </cell>
          <cell r="AB968" t="b">
            <v>0</v>
          </cell>
          <cell r="AC968" t="b">
            <v>0</v>
          </cell>
          <cell r="AD968" t="b">
            <v>0</v>
          </cell>
          <cell r="AE968" t="b">
            <v>0</v>
          </cell>
          <cell r="AF968" t="str">
            <v/>
          </cell>
        </row>
        <row r="969">
          <cell r="AA969" t="b">
            <v>0</v>
          </cell>
          <cell r="AB969" t="b">
            <v>0</v>
          </cell>
          <cell r="AC969" t="b">
            <v>0</v>
          </cell>
          <cell r="AD969" t="b">
            <v>0</v>
          </cell>
          <cell r="AE969" t="b">
            <v>0</v>
          </cell>
          <cell r="AF969" t="str">
            <v/>
          </cell>
        </row>
        <row r="970">
          <cell r="AA970" t="b">
            <v>0</v>
          </cell>
          <cell r="AB970" t="b">
            <v>0</v>
          </cell>
          <cell r="AC970" t="b">
            <v>0</v>
          </cell>
          <cell r="AD970" t="b">
            <v>0</v>
          </cell>
          <cell r="AE970" t="b">
            <v>0</v>
          </cell>
          <cell r="AF970" t="str">
            <v/>
          </cell>
        </row>
        <row r="971">
          <cell r="AA971" t="b">
            <v>0</v>
          </cell>
          <cell r="AB971" t="b">
            <v>0</v>
          </cell>
          <cell r="AC971" t="b">
            <v>0</v>
          </cell>
          <cell r="AD971" t="b">
            <v>0</v>
          </cell>
          <cell r="AE971" t="b">
            <v>0</v>
          </cell>
          <cell r="AF971" t="str">
            <v/>
          </cell>
        </row>
        <row r="972">
          <cell r="AA972" t="b">
            <v>0</v>
          </cell>
          <cell r="AB972" t="b">
            <v>0</v>
          </cell>
          <cell r="AC972" t="b">
            <v>0</v>
          </cell>
          <cell r="AD972" t="b">
            <v>0</v>
          </cell>
          <cell r="AE972" t="b">
            <v>0</v>
          </cell>
          <cell r="AF972" t="str">
            <v/>
          </cell>
        </row>
        <row r="973">
          <cell r="AA973" t="b">
            <v>0</v>
          </cell>
          <cell r="AB973" t="b">
            <v>0</v>
          </cell>
          <cell r="AC973" t="b">
            <v>0</v>
          </cell>
          <cell r="AD973" t="b">
            <v>0</v>
          </cell>
          <cell r="AE973" t="b">
            <v>0</v>
          </cell>
          <cell r="AF973" t="str">
            <v/>
          </cell>
        </row>
        <row r="974">
          <cell r="AA974" t="b">
            <v>0</v>
          </cell>
          <cell r="AB974" t="b">
            <v>0</v>
          </cell>
          <cell r="AC974" t="b">
            <v>0</v>
          </cell>
          <cell r="AD974" t="b">
            <v>0</v>
          </cell>
          <cell r="AE974" t="b">
            <v>0</v>
          </cell>
          <cell r="AF974" t="str">
            <v/>
          </cell>
        </row>
        <row r="975">
          <cell r="AA975" t="b">
            <v>0</v>
          </cell>
          <cell r="AB975" t="b">
            <v>0</v>
          </cell>
          <cell r="AC975" t="b">
            <v>0</v>
          </cell>
          <cell r="AD975" t="b">
            <v>0</v>
          </cell>
          <cell r="AE975" t="b">
            <v>0</v>
          </cell>
          <cell r="AF975" t="str">
            <v/>
          </cell>
        </row>
        <row r="976">
          <cell r="AA976" t="b">
            <v>0</v>
          </cell>
          <cell r="AB976" t="b">
            <v>0</v>
          </cell>
          <cell r="AC976" t="b">
            <v>0</v>
          </cell>
          <cell r="AD976" t="b">
            <v>0</v>
          </cell>
          <cell r="AE976" t="b">
            <v>0</v>
          </cell>
          <cell r="AF976" t="str">
            <v/>
          </cell>
        </row>
        <row r="977">
          <cell r="AA977" t="b">
            <v>0</v>
          </cell>
          <cell r="AB977" t="b">
            <v>0</v>
          </cell>
          <cell r="AC977" t="b">
            <v>0</v>
          </cell>
          <cell r="AD977" t="b">
            <v>0</v>
          </cell>
          <cell r="AE977" t="b">
            <v>0</v>
          </cell>
          <cell r="AF977" t="str">
            <v/>
          </cell>
        </row>
        <row r="978">
          <cell r="AA978" t="b">
            <v>0</v>
          </cell>
          <cell r="AB978" t="b">
            <v>0</v>
          </cell>
          <cell r="AC978" t="b">
            <v>0</v>
          </cell>
          <cell r="AD978" t="b">
            <v>0</v>
          </cell>
          <cell r="AE978" t="b">
            <v>0</v>
          </cell>
          <cell r="AF978" t="str">
            <v/>
          </cell>
        </row>
        <row r="979">
          <cell r="AA979" t="b">
            <v>0</v>
          </cell>
          <cell r="AB979" t="b">
            <v>0</v>
          </cell>
          <cell r="AC979" t="b">
            <v>0</v>
          </cell>
          <cell r="AD979" t="b">
            <v>0</v>
          </cell>
          <cell r="AE979" t="b">
            <v>0</v>
          </cell>
          <cell r="AF979" t="str">
            <v/>
          </cell>
        </row>
        <row r="980">
          <cell r="AA980" t="b">
            <v>0</v>
          </cell>
          <cell r="AB980" t="b">
            <v>0</v>
          </cell>
          <cell r="AC980" t="b">
            <v>0</v>
          </cell>
          <cell r="AD980" t="b">
            <v>0</v>
          </cell>
          <cell r="AE980" t="b">
            <v>0</v>
          </cell>
          <cell r="AF980" t="str">
            <v/>
          </cell>
        </row>
        <row r="981">
          <cell r="AA981" t="b">
            <v>0</v>
          </cell>
          <cell r="AB981" t="b">
            <v>0</v>
          </cell>
          <cell r="AC981" t="b">
            <v>0</v>
          </cell>
          <cell r="AD981" t="b">
            <v>0</v>
          </cell>
          <cell r="AE981" t="b">
            <v>0</v>
          </cell>
          <cell r="AF981" t="str">
            <v/>
          </cell>
        </row>
        <row r="982">
          <cell r="AA982" t="b">
            <v>0</v>
          </cell>
          <cell r="AB982" t="b">
            <v>0</v>
          </cell>
          <cell r="AC982" t="b">
            <v>0</v>
          </cell>
          <cell r="AD982" t="b">
            <v>0</v>
          </cell>
          <cell r="AE982" t="b">
            <v>0</v>
          </cell>
          <cell r="AF982" t="str">
            <v/>
          </cell>
        </row>
        <row r="983">
          <cell r="AA983" t="b">
            <v>0</v>
          </cell>
          <cell r="AB983" t="b">
            <v>0</v>
          </cell>
          <cell r="AC983" t="b">
            <v>0</v>
          </cell>
          <cell r="AD983" t="b">
            <v>0</v>
          </cell>
          <cell r="AE983" t="b">
            <v>0</v>
          </cell>
          <cell r="AF983" t="str">
            <v/>
          </cell>
        </row>
        <row r="984">
          <cell r="AA984" t="b">
            <v>0</v>
          </cell>
          <cell r="AB984" t="b">
            <v>0</v>
          </cell>
          <cell r="AC984" t="b">
            <v>0</v>
          </cell>
          <cell r="AD984" t="b">
            <v>0</v>
          </cell>
          <cell r="AE984" t="b">
            <v>0</v>
          </cell>
          <cell r="AF984" t="str">
            <v/>
          </cell>
        </row>
        <row r="985">
          <cell r="AA985" t="b">
            <v>0</v>
          </cell>
          <cell r="AB985" t="b">
            <v>0</v>
          </cell>
          <cell r="AC985" t="b">
            <v>0</v>
          </cell>
          <cell r="AD985" t="b">
            <v>0</v>
          </cell>
          <cell r="AE985" t="b">
            <v>0</v>
          </cell>
          <cell r="AF985" t="str">
            <v/>
          </cell>
        </row>
        <row r="986">
          <cell r="AA986" t="b">
            <v>0</v>
          </cell>
          <cell r="AB986" t="b">
            <v>0</v>
          </cell>
          <cell r="AC986" t="b">
            <v>0</v>
          </cell>
          <cell r="AD986" t="b">
            <v>0</v>
          </cell>
          <cell r="AE986" t="b">
            <v>0</v>
          </cell>
          <cell r="AF986" t="str">
            <v/>
          </cell>
        </row>
        <row r="987">
          <cell r="AA987" t="b">
            <v>0</v>
          </cell>
          <cell r="AB987" t="b">
            <v>0</v>
          </cell>
          <cell r="AC987" t="b">
            <v>0</v>
          </cell>
          <cell r="AD987" t="b">
            <v>0</v>
          </cell>
          <cell r="AE987" t="b">
            <v>0</v>
          </cell>
          <cell r="AF987" t="str">
            <v/>
          </cell>
        </row>
        <row r="988">
          <cell r="AA988" t="b">
            <v>0</v>
          </cell>
          <cell r="AB988" t="b">
            <v>0</v>
          </cell>
          <cell r="AC988" t="b">
            <v>0</v>
          </cell>
          <cell r="AD988" t="b">
            <v>0</v>
          </cell>
          <cell r="AE988" t="b">
            <v>0</v>
          </cell>
          <cell r="AF988" t="str">
            <v/>
          </cell>
        </row>
        <row r="989">
          <cell r="AA989" t="b">
            <v>0</v>
          </cell>
          <cell r="AB989" t="b">
            <v>0</v>
          </cell>
          <cell r="AC989" t="b">
            <v>0</v>
          </cell>
          <cell r="AD989" t="b">
            <v>0</v>
          </cell>
          <cell r="AE989" t="b">
            <v>0</v>
          </cell>
          <cell r="AF989" t="str">
            <v/>
          </cell>
        </row>
        <row r="990">
          <cell r="AA990" t="b">
            <v>0</v>
          </cell>
          <cell r="AB990" t="b">
            <v>0</v>
          </cell>
          <cell r="AC990" t="b">
            <v>0</v>
          </cell>
          <cell r="AD990" t="b">
            <v>0</v>
          </cell>
          <cell r="AE990" t="b">
            <v>0</v>
          </cell>
          <cell r="AF990" t="str">
            <v/>
          </cell>
        </row>
        <row r="991">
          <cell r="AA991" t="b">
            <v>0</v>
          </cell>
          <cell r="AB991" t="b">
            <v>0</v>
          </cell>
          <cell r="AC991" t="b">
            <v>0</v>
          </cell>
          <cell r="AD991" t="b">
            <v>0</v>
          </cell>
          <cell r="AE991" t="b">
            <v>0</v>
          </cell>
          <cell r="AF991" t="str">
            <v/>
          </cell>
        </row>
        <row r="992">
          <cell r="AA992" t="b">
            <v>0</v>
          </cell>
          <cell r="AB992" t="b">
            <v>0</v>
          </cell>
          <cell r="AC992" t="b">
            <v>0</v>
          </cell>
          <cell r="AD992" t="b">
            <v>0</v>
          </cell>
          <cell r="AE992" t="b">
            <v>0</v>
          </cell>
          <cell r="AF992" t="str">
            <v/>
          </cell>
        </row>
        <row r="993">
          <cell r="AA993" t="b">
            <v>0</v>
          </cell>
          <cell r="AB993" t="b">
            <v>0</v>
          </cell>
          <cell r="AC993" t="b">
            <v>0</v>
          </cell>
          <cell r="AD993" t="b">
            <v>0</v>
          </cell>
          <cell r="AE993" t="b">
            <v>0</v>
          </cell>
          <cell r="AF993" t="str">
            <v/>
          </cell>
        </row>
        <row r="994">
          <cell r="AA994" t="b">
            <v>0</v>
          </cell>
          <cell r="AB994" t="b">
            <v>0</v>
          </cell>
          <cell r="AC994" t="b">
            <v>0</v>
          </cell>
          <cell r="AD994" t="b">
            <v>0</v>
          </cell>
          <cell r="AE994" t="b">
            <v>0</v>
          </cell>
          <cell r="AF994" t="str">
            <v/>
          </cell>
        </row>
        <row r="995">
          <cell r="AA995" t="b">
            <v>0</v>
          </cell>
          <cell r="AB995" t="b">
            <v>0</v>
          </cell>
          <cell r="AC995" t="b">
            <v>0</v>
          </cell>
          <cell r="AD995" t="b">
            <v>0</v>
          </cell>
          <cell r="AE995" t="b">
            <v>0</v>
          </cell>
          <cell r="AF995" t="str">
            <v/>
          </cell>
        </row>
        <row r="996">
          <cell r="AA996" t="b">
            <v>0</v>
          </cell>
          <cell r="AB996" t="b">
            <v>0</v>
          </cell>
          <cell r="AC996" t="b">
            <v>0</v>
          </cell>
          <cell r="AD996" t="b">
            <v>0</v>
          </cell>
          <cell r="AE996" t="b">
            <v>0</v>
          </cell>
          <cell r="AF996" t="str">
            <v/>
          </cell>
        </row>
        <row r="997">
          <cell r="AA997" t="b">
            <v>0</v>
          </cell>
          <cell r="AB997" t="b">
            <v>0</v>
          </cell>
          <cell r="AC997" t="b">
            <v>0</v>
          </cell>
          <cell r="AD997" t="b">
            <v>0</v>
          </cell>
          <cell r="AE997" t="b">
            <v>0</v>
          </cell>
          <cell r="AF997" t="str">
            <v/>
          </cell>
        </row>
        <row r="998">
          <cell r="AA998" t="b">
            <v>0</v>
          </cell>
          <cell r="AB998" t="b">
            <v>0</v>
          </cell>
          <cell r="AC998" t="b">
            <v>0</v>
          </cell>
          <cell r="AD998" t="b">
            <v>0</v>
          </cell>
          <cell r="AE998" t="b">
            <v>0</v>
          </cell>
          <cell r="AF998" t="str">
            <v/>
          </cell>
        </row>
        <row r="999">
          <cell r="AA999" t="b">
            <v>0</v>
          </cell>
          <cell r="AB999" t="b">
            <v>0</v>
          </cell>
          <cell r="AC999" t="b">
            <v>0</v>
          </cell>
          <cell r="AD999" t="b">
            <v>0</v>
          </cell>
          <cell r="AE999" t="b">
            <v>0</v>
          </cell>
          <cell r="AF999" t="str">
            <v/>
          </cell>
        </row>
        <row r="1000">
          <cell r="AA1000" t="b">
            <v>0</v>
          </cell>
          <cell r="AB1000" t="b">
            <v>0</v>
          </cell>
          <cell r="AC1000" t="b">
            <v>0</v>
          </cell>
          <cell r="AD1000" t="b">
            <v>0</v>
          </cell>
          <cell r="AE1000" t="b">
            <v>0</v>
          </cell>
          <cell r="AF1000" t="str">
            <v/>
          </cell>
        </row>
        <row r="1001">
          <cell r="AA1001" t="b">
            <v>0</v>
          </cell>
          <cell r="AB1001" t="b">
            <v>0</v>
          </cell>
          <cell r="AC1001" t="b">
            <v>0</v>
          </cell>
          <cell r="AD1001" t="b">
            <v>0</v>
          </cell>
          <cell r="AE1001" t="b">
            <v>0</v>
          </cell>
          <cell r="AF1001" t="str">
            <v/>
          </cell>
        </row>
        <row r="1002">
          <cell r="AA1002" t="b">
            <v>0</v>
          </cell>
          <cell r="AB1002" t="b">
            <v>0</v>
          </cell>
          <cell r="AC1002" t="b">
            <v>0</v>
          </cell>
          <cell r="AD1002" t="b">
            <v>0</v>
          </cell>
          <cell r="AE1002" t="b">
            <v>0</v>
          </cell>
          <cell r="AF1002" t="str">
            <v/>
          </cell>
        </row>
        <row r="1003">
          <cell r="AA1003" t="b">
            <v>0</v>
          </cell>
          <cell r="AB1003" t="b">
            <v>0</v>
          </cell>
          <cell r="AC1003" t="b">
            <v>0</v>
          </cell>
          <cell r="AD1003" t="b">
            <v>0</v>
          </cell>
          <cell r="AE1003" t="b">
            <v>0</v>
          </cell>
          <cell r="AF1003" t="str">
            <v/>
          </cell>
        </row>
        <row r="1004">
          <cell r="AA1004" t="b">
            <v>0</v>
          </cell>
          <cell r="AB1004" t="b">
            <v>0</v>
          </cell>
          <cell r="AC1004" t="b">
            <v>0</v>
          </cell>
          <cell r="AD1004" t="b">
            <v>0</v>
          </cell>
          <cell r="AE1004" t="b">
            <v>0</v>
          </cell>
          <cell r="AF1004" t="str">
            <v/>
          </cell>
        </row>
        <row r="1005">
          <cell r="AA1005" t="b">
            <v>0</v>
          </cell>
          <cell r="AB1005" t="b">
            <v>0</v>
          </cell>
          <cell r="AC1005" t="b">
            <v>0</v>
          </cell>
          <cell r="AD1005" t="b">
            <v>0</v>
          </cell>
          <cell r="AE1005" t="b">
            <v>0</v>
          </cell>
          <cell r="AF1005" t="str">
            <v/>
          </cell>
        </row>
        <row r="1006">
          <cell r="AA1006" t="b">
            <v>0</v>
          </cell>
          <cell r="AB1006" t="b">
            <v>0</v>
          </cell>
          <cell r="AC1006" t="b">
            <v>0</v>
          </cell>
          <cell r="AD1006" t="b">
            <v>0</v>
          </cell>
          <cell r="AE1006" t="b">
            <v>0</v>
          </cell>
          <cell r="AF1006" t="str">
            <v/>
          </cell>
        </row>
        <row r="1007">
          <cell r="AA1007" t="b">
            <v>0</v>
          </cell>
          <cell r="AB1007" t="b">
            <v>0</v>
          </cell>
          <cell r="AC1007" t="b">
            <v>0</v>
          </cell>
          <cell r="AD1007" t="b">
            <v>0</v>
          </cell>
          <cell r="AE1007" t="b">
            <v>0</v>
          </cell>
          <cell r="AF1007" t="str">
            <v/>
          </cell>
        </row>
        <row r="1008">
          <cell r="AA1008" t="b">
            <v>0</v>
          </cell>
          <cell r="AB1008" t="b">
            <v>0</v>
          </cell>
          <cell r="AC1008" t="b">
            <v>0</v>
          </cell>
          <cell r="AD1008" t="b">
            <v>0</v>
          </cell>
          <cell r="AE1008" t="b">
            <v>0</v>
          </cell>
          <cell r="AF1008" t="str">
            <v/>
          </cell>
        </row>
        <row r="1009">
          <cell r="AA1009" t="b">
            <v>0</v>
          </cell>
          <cell r="AB1009" t="b">
            <v>0</v>
          </cell>
          <cell r="AC1009" t="b">
            <v>0</v>
          </cell>
          <cell r="AD1009" t="b">
            <v>0</v>
          </cell>
          <cell r="AE1009" t="b">
            <v>0</v>
          </cell>
          <cell r="AF1009" t="str">
            <v/>
          </cell>
        </row>
        <row r="1010">
          <cell r="AA1010" t="b">
            <v>0</v>
          </cell>
          <cell r="AB1010" t="b">
            <v>0</v>
          </cell>
          <cell r="AC1010" t="b">
            <v>0</v>
          </cell>
          <cell r="AD1010" t="b">
            <v>0</v>
          </cell>
          <cell r="AE1010" t="b">
            <v>0</v>
          </cell>
          <cell r="AF1010" t="str">
            <v/>
          </cell>
        </row>
        <row r="1011">
          <cell r="AA1011" t="b">
            <v>0</v>
          </cell>
          <cell r="AB1011" t="b">
            <v>0</v>
          </cell>
          <cell r="AC1011" t="b">
            <v>0</v>
          </cell>
          <cell r="AD1011" t="b">
            <v>0</v>
          </cell>
          <cell r="AE1011" t="b">
            <v>0</v>
          </cell>
          <cell r="AF1011" t="str">
            <v/>
          </cell>
        </row>
        <row r="1012">
          <cell r="AA1012" t="b">
            <v>0</v>
          </cell>
          <cell r="AB1012" t="b">
            <v>0</v>
          </cell>
          <cell r="AC1012" t="b">
            <v>0</v>
          </cell>
          <cell r="AD1012" t="b">
            <v>0</v>
          </cell>
          <cell r="AE1012" t="b">
            <v>0</v>
          </cell>
          <cell r="AF1012" t="str">
            <v/>
          </cell>
        </row>
        <row r="1013">
          <cell r="AA1013" t="b">
            <v>0</v>
          </cell>
          <cell r="AB1013" t="b">
            <v>0</v>
          </cell>
          <cell r="AC1013" t="b">
            <v>0</v>
          </cell>
          <cell r="AD1013" t="b">
            <v>0</v>
          </cell>
          <cell r="AE1013" t="b">
            <v>0</v>
          </cell>
          <cell r="AF1013" t="str">
            <v/>
          </cell>
        </row>
        <row r="1014">
          <cell r="AA1014" t="b">
            <v>0</v>
          </cell>
          <cell r="AB1014" t="b">
            <v>0</v>
          </cell>
          <cell r="AC1014" t="b">
            <v>0</v>
          </cell>
          <cell r="AD1014" t="b">
            <v>0</v>
          </cell>
          <cell r="AE1014" t="b">
            <v>0</v>
          </cell>
          <cell r="AF1014" t="str">
            <v/>
          </cell>
        </row>
        <row r="1015">
          <cell r="AA1015" t="b">
            <v>0</v>
          </cell>
          <cell r="AB1015" t="b">
            <v>0</v>
          </cell>
          <cell r="AC1015" t="b">
            <v>0</v>
          </cell>
          <cell r="AD1015" t="b">
            <v>0</v>
          </cell>
          <cell r="AE1015" t="b">
            <v>0</v>
          </cell>
          <cell r="AF1015" t="str">
            <v/>
          </cell>
        </row>
        <row r="1016">
          <cell r="AA1016" t="b">
            <v>0</v>
          </cell>
          <cell r="AB1016" t="b">
            <v>0</v>
          </cell>
          <cell r="AC1016" t="b">
            <v>0</v>
          </cell>
          <cell r="AD1016" t="b">
            <v>0</v>
          </cell>
          <cell r="AE1016" t="b">
            <v>0</v>
          </cell>
          <cell r="AF1016" t="str">
            <v/>
          </cell>
        </row>
        <row r="1017">
          <cell r="AA1017" t="b">
            <v>0</v>
          </cell>
          <cell r="AB1017" t="b">
            <v>0</v>
          </cell>
          <cell r="AC1017" t="b">
            <v>0</v>
          </cell>
          <cell r="AD1017" t="b">
            <v>0</v>
          </cell>
          <cell r="AE1017" t="b">
            <v>0</v>
          </cell>
          <cell r="AF1017" t="str">
            <v/>
          </cell>
        </row>
        <row r="1018">
          <cell r="AA1018" t="b">
            <v>0</v>
          </cell>
          <cell r="AB1018" t="b">
            <v>0</v>
          </cell>
          <cell r="AC1018" t="b">
            <v>0</v>
          </cell>
          <cell r="AD1018" t="b">
            <v>0</v>
          </cell>
          <cell r="AE1018" t="b">
            <v>0</v>
          </cell>
          <cell r="AF1018" t="str">
            <v/>
          </cell>
        </row>
        <row r="1019">
          <cell r="AA1019" t="b">
            <v>0</v>
          </cell>
          <cell r="AB1019" t="b">
            <v>0</v>
          </cell>
          <cell r="AC1019" t="b">
            <v>0</v>
          </cell>
          <cell r="AD1019" t="b">
            <v>0</v>
          </cell>
          <cell r="AE1019" t="b">
            <v>0</v>
          </cell>
          <cell r="AF1019" t="str">
            <v/>
          </cell>
        </row>
        <row r="1020">
          <cell r="AA1020" t="b">
            <v>0</v>
          </cell>
          <cell r="AB1020" t="b">
            <v>0</v>
          </cell>
          <cell r="AC1020" t="b">
            <v>0</v>
          </cell>
          <cell r="AD1020" t="b">
            <v>0</v>
          </cell>
          <cell r="AE1020" t="b">
            <v>0</v>
          </cell>
          <cell r="AF1020" t="str">
            <v/>
          </cell>
        </row>
        <row r="1021">
          <cell r="AA1021" t="b">
            <v>0</v>
          </cell>
          <cell r="AB1021" t="b">
            <v>0</v>
          </cell>
          <cell r="AC1021" t="b">
            <v>0</v>
          </cell>
          <cell r="AD1021" t="b">
            <v>0</v>
          </cell>
          <cell r="AE1021" t="b">
            <v>0</v>
          </cell>
          <cell r="AF1021" t="str">
            <v/>
          </cell>
        </row>
        <row r="1022">
          <cell r="AA1022" t="b">
            <v>0</v>
          </cell>
          <cell r="AB1022" t="b">
            <v>0</v>
          </cell>
          <cell r="AC1022" t="b">
            <v>0</v>
          </cell>
          <cell r="AD1022" t="b">
            <v>0</v>
          </cell>
          <cell r="AE1022" t="b">
            <v>0</v>
          </cell>
          <cell r="AF1022" t="str">
            <v/>
          </cell>
        </row>
        <row r="1023">
          <cell r="AA1023" t="b">
            <v>0</v>
          </cell>
          <cell r="AB1023" t="b">
            <v>0</v>
          </cell>
          <cell r="AC1023" t="b">
            <v>0</v>
          </cell>
          <cell r="AD1023" t="b">
            <v>0</v>
          </cell>
          <cell r="AE1023" t="b">
            <v>0</v>
          </cell>
          <cell r="AF1023" t="str">
            <v/>
          </cell>
        </row>
        <row r="1024">
          <cell r="AA1024" t="b">
            <v>0</v>
          </cell>
          <cell r="AB1024" t="b">
            <v>0</v>
          </cell>
          <cell r="AC1024" t="b">
            <v>0</v>
          </cell>
          <cell r="AD1024" t="b">
            <v>0</v>
          </cell>
          <cell r="AE1024" t="b">
            <v>0</v>
          </cell>
          <cell r="AF1024" t="str">
            <v/>
          </cell>
        </row>
        <row r="1025">
          <cell r="AA1025" t="b">
            <v>0</v>
          </cell>
          <cell r="AB1025" t="b">
            <v>0</v>
          </cell>
          <cell r="AC1025" t="b">
            <v>0</v>
          </cell>
          <cell r="AD1025" t="b">
            <v>0</v>
          </cell>
          <cell r="AE1025" t="b">
            <v>0</v>
          </cell>
          <cell r="AF1025" t="str">
            <v/>
          </cell>
        </row>
        <row r="1026">
          <cell r="AA1026" t="b">
            <v>0</v>
          </cell>
          <cell r="AB1026" t="b">
            <v>0</v>
          </cell>
          <cell r="AC1026" t="b">
            <v>0</v>
          </cell>
          <cell r="AD1026" t="b">
            <v>0</v>
          </cell>
          <cell r="AE1026" t="b">
            <v>0</v>
          </cell>
          <cell r="AF1026" t="str">
            <v/>
          </cell>
        </row>
        <row r="1027">
          <cell r="AA1027" t="b">
            <v>0</v>
          </cell>
          <cell r="AB1027" t="b">
            <v>0</v>
          </cell>
          <cell r="AC1027" t="b">
            <v>0</v>
          </cell>
          <cell r="AD1027" t="b">
            <v>0</v>
          </cell>
          <cell r="AE1027" t="b">
            <v>0</v>
          </cell>
          <cell r="AF1027" t="str">
            <v/>
          </cell>
        </row>
        <row r="1028">
          <cell r="AA1028" t="b">
            <v>0</v>
          </cell>
          <cell r="AB1028" t="b">
            <v>0</v>
          </cell>
          <cell r="AC1028" t="b">
            <v>0</v>
          </cell>
          <cell r="AD1028" t="b">
            <v>0</v>
          </cell>
          <cell r="AE1028" t="b">
            <v>0</v>
          </cell>
          <cell r="AF1028" t="str">
            <v/>
          </cell>
        </row>
        <row r="1029">
          <cell r="AA1029" t="b">
            <v>0</v>
          </cell>
          <cell r="AB1029" t="b">
            <v>0</v>
          </cell>
          <cell r="AC1029" t="b">
            <v>0</v>
          </cell>
          <cell r="AD1029" t="b">
            <v>0</v>
          </cell>
          <cell r="AE1029" t="b">
            <v>0</v>
          </cell>
          <cell r="AF1029" t="str">
            <v/>
          </cell>
        </row>
        <row r="1030">
          <cell r="AA1030" t="b">
            <v>0</v>
          </cell>
          <cell r="AB1030" t="b">
            <v>0</v>
          </cell>
          <cell r="AC1030" t="b">
            <v>0</v>
          </cell>
          <cell r="AD1030" t="b">
            <v>0</v>
          </cell>
          <cell r="AE1030" t="b">
            <v>0</v>
          </cell>
          <cell r="AF1030" t="str">
            <v/>
          </cell>
        </row>
        <row r="1031">
          <cell r="AA1031" t="b">
            <v>0</v>
          </cell>
          <cell r="AB1031" t="b">
            <v>0</v>
          </cell>
          <cell r="AC1031" t="b">
            <v>0</v>
          </cell>
          <cell r="AD1031" t="b">
            <v>0</v>
          </cell>
          <cell r="AE1031" t="b">
            <v>0</v>
          </cell>
          <cell r="AF1031" t="str">
            <v/>
          </cell>
        </row>
        <row r="1032">
          <cell r="AA1032" t="b">
            <v>0</v>
          </cell>
          <cell r="AB1032" t="b">
            <v>0</v>
          </cell>
          <cell r="AC1032" t="b">
            <v>0</v>
          </cell>
          <cell r="AD1032" t="b">
            <v>0</v>
          </cell>
          <cell r="AE1032" t="b">
            <v>0</v>
          </cell>
          <cell r="AF1032" t="str">
            <v/>
          </cell>
        </row>
        <row r="1033">
          <cell r="AA1033" t="b">
            <v>0</v>
          </cell>
          <cell r="AB1033" t="b">
            <v>0</v>
          </cell>
          <cell r="AC1033" t="b">
            <v>0</v>
          </cell>
          <cell r="AD1033" t="b">
            <v>0</v>
          </cell>
          <cell r="AE1033" t="b">
            <v>0</v>
          </cell>
          <cell r="AF1033" t="str">
            <v/>
          </cell>
        </row>
        <row r="1034">
          <cell r="AA1034" t="b">
            <v>0</v>
          </cell>
          <cell r="AB1034" t="b">
            <v>0</v>
          </cell>
          <cell r="AC1034" t="b">
            <v>0</v>
          </cell>
          <cell r="AD1034" t="b">
            <v>0</v>
          </cell>
          <cell r="AE1034" t="b">
            <v>0</v>
          </cell>
          <cell r="AF1034" t="str">
            <v/>
          </cell>
        </row>
        <row r="1035">
          <cell r="AA1035" t="b">
            <v>0</v>
          </cell>
          <cell r="AB1035" t="b">
            <v>0</v>
          </cell>
          <cell r="AC1035" t="b">
            <v>0</v>
          </cell>
          <cell r="AD1035" t="b">
            <v>0</v>
          </cell>
          <cell r="AE1035" t="b">
            <v>0</v>
          </cell>
          <cell r="AF1035" t="str">
            <v/>
          </cell>
        </row>
        <row r="1036">
          <cell r="AA1036" t="b">
            <v>0</v>
          </cell>
          <cell r="AB1036" t="b">
            <v>0</v>
          </cell>
          <cell r="AC1036" t="b">
            <v>0</v>
          </cell>
          <cell r="AD1036" t="b">
            <v>0</v>
          </cell>
          <cell r="AE1036" t="b">
            <v>0</v>
          </cell>
          <cell r="AF1036" t="str">
            <v/>
          </cell>
        </row>
        <row r="1037">
          <cell r="AA1037" t="b">
            <v>0</v>
          </cell>
          <cell r="AB1037" t="b">
            <v>0</v>
          </cell>
          <cell r="AC1037" t="b">
            <v>0</v>
          </cell>
          <cell r="AD1037" t="b">
            <v>0</v>
          </cell>
          <cell r="AE1037" t="b">
            <v>0</v>
          </cell>
          <cell r="AF1037" t="str">
            <v/>
          </cell>
        </row>
        <row r="1038">
          <cell r="AA1038" t="b">
            <v>0</v>
          </cell>
          <cell r="AB1038" t="b">
            <v>0</v>
          </cell>
          <cell r="AC1038" t="b">
            <v>0</v>
          </cell>
          <cell r="AD1038" t="b">
            <v>0</v>
          </cell>
          <cell r="AE1038" t="b">
            <v>0</v>
          </cell>
          <cell r="AF1038" t="str">
            <v/>
          </cell>
        </row>
        <row r="1039">
          <cell r="AA1039" t="b">
            <v>0</v>
          </cell>
          <cell r="AB1039" t="b">
            <v>0</v>
          </cell>
          <cell r="AC1039" t="b">
            <v>0</v>
          </cell>
          <cell r="AD1039" t="b">
            <v>0</v>
          </cell>
          <cell r="AE1039" t="b">
            <v>0</v>
          </cell>
          <cell r="AF1039" t="str">
            <v/>
          </cell>
        </row>
        <row r="1040">
          <cell r="AA1040" t="b">
            <v>0</v>
          </cell>
          <cell r="AB1040" t="b">
            <v>0</v>
          </cell>
          <cell r="AC1040" t="b">
            <v>0</v>
          </cell>
          <cell r="AD1040" t="b">
            <v>0</v>
          </cell>
          <cell r="AE1040" t="b">
            <v>0</v>
          </cell>
          <cell r="AF1040" t="str">
            <v/>
          </cell>
        </row>
        <row r="1041">
          <cell r="AA1041" t="b">
            <v>0</v>
          </cell>
          <cell r="AB1041" t="b">
            <v>0</v>
          </cell>
          <cell r="AC1041" t="b">
            <v>0</v>
          </cell>
          <cell r="AD1041" t="b">
            <v>0</v>
          </cell>
          <cell r="AE1041" t="b">
            <v>0</v>
          </cell>
          <cell r="AF1041" t="str">
            <v/>
          </cell>
        </row>
        <row r="1042">
          <cell r="AA1042" t="b">
            <v>0</v>
          </cell>
          <cell r="AB1042" t="b">
            <v>0</v>
          </cell>
          <cell r="AC1042" t="b">
            <v>0</v>
          </cell>
          <cell r="AD1042" t="b">
            <v>0</v>
          </cell>
          <cell r="AE1042" t="b">
            <v>0</v>
          </cell>
          <cell r="AF1042" t="str">
            <v/>
          </cell>
        </row>
        <row r="1043">
          <cell r="AA1043" t="b">
            <v>0</v>
          </cell>
          <cell r="AB1043" t="b">
            <v>0</v>
          </cell>
          <cell r="AC1043" t="b">
            <v>0</v>
          </cell>
          <cell r="AD1043" t="b">
            <v>0</v>
          </cell>
          <cell r="AE1043" t="b">
            <v>0</v>
          </cell>
          <cell r="AF1043" t="str">
            <v/>
          </cell>
        </row>
        <row r="1044">
          <cell r="AA1044" t="b">
            <v>0</v>
          </cell>
          <cell r="AB1044" t="b">
            <v>0</v>
          </cell>
          <cell r="AC1044" t="b">
            <v>0</v>
          </cell>
          <cell r="AD1044" t="b">
            <v>0</v>
          </cell>
          <cell r="AE1044" t="b">
            <v>0</v>
          </cell>
          <cell r="AF1044" t="str">
            <v/>
          </cell>
        </row>
        <row r="1045">
          <cell r="AA1045" t="b">
            <v>0</v>
          </cell>
          <cell r="AB1045" t="b">
            <v>0</v>
          </cell>
          <cell r="AC1045" t="b">
            <v>0</v>
          </cell>
          <cell r="AD1045" t="b">
            <v>0</v>
          </cell>
          <cell r="AE1045" t="b">
            <v>0</v>
          </cell>
          <cell r="AF1045" t="str">
            <v/>
          </cell>
        </row>
        <row r="1046">
          <cell r="AA1046" t="b">
            <v>0</v>
          </cell>
          <cell r="AB1046" t="b">
            <v>0</v>
          </cell>
          <cell r="AC1046" t="b">
            <v>0</v>
          </cell>
          <cell r="AD1046" t="b">
            <v>0</v>
          </cell>
          <cell r="AE1046" t="b">
            <v>0</v>
          </cell>
          <cell r="AF1046" t="str">
            <v/>
          </cell>
        </row>
        <row r="1047">
          <cell r="AA1047" t="b">
            <v>0</v>
          </cell>
          <cell r="AB1047" t="b">
            <v>0</v>
          </cell>
          <cell r="AC1047" t="b">
            <v>0</v>
          </cell>
          <cell r="AD1047" t="b">
            <v>0</v>
          </cell>
          <cell r="AE1047" t="b">
            <v>0</v>
          </cell>
          <cell r="AF1047" t="str">
            <v/>
          </cell>
        </row>
        <row r="1048">
          <cell r="AA1048" t="b">
            <v>0</v>
          </cell>
          <cell r="AB1048" t="b">
            <v>0</v>
          </cell>
          <cell r="AC1048" t="b">
            <v>0</v>
          </cell>
          <cell r="AD1048" t="b">
            <v>0</v>
          </cell>
          <cell r="AE1048" t="b">
            <v>0</v>
          </cell>
          <cell r="AF1048" t="str">
            <v/>
          </cell>
        </row>
        <row r="1049">
          <cell r="AA1049" t="b">
            <v>0</v>
          </cell>
          <cell r="AB1049" t="b">
            <v>0</v>
          </cell>
          <cell r="AC1049" t="b">
            <v>0</v>
          </cell>
          <cell r="AD1049" t="b">
            <v>0</v>
          </cell>
          <cell r="AE1049" t="b">
            <v>0</v>
          </cell>
          <cell r="AF1049" t="str">
            <v/>
          </cell>
        </row>
        <row r="1050">
          <cell r="AA1050" t="b">
            <v>0</v>
          </cell>
          <cell r="AB1050" t="b">
            <v>0</v>
          </cell>
          <cell r="AC1050" t="b">
            <v>0</v>
          </cell>
          <cell r="AD1050" t="b">
            <v>0</v>
          </cell>
          <cell r="AE1050" t="b">
            <v>0</v>
          </cell>
          <cell r="AF1050" t="str">
            <v/>
          </cell>
        </row>
        <row r="1051">
          <cell r="AA1051" t="b">
            <v>0</v>
          </cell>
          <cell r="AB1051" t="b">
            <v>0</v>
          </cell>
          <cell r="AC1051" t="b">
            <v>0</v>
          </cell>
          <cell r="AD1051" t="b">
            <v>0</v>
          </cell>
          <cell r="AE1051" t="b">
            <v>0</v>
          </cell>
          <cell r="AF1051" t="str">
            <v/>
          </cell>
        </row>
        <row r="1052">
          <cell r="AA1052" t="b">
            <v>0</v>
          </cell>
          <cell r="AB1052" t="b">
            <v>0</v>
          </cell>
          <cell r="AC1052" t="b">
            <v>0</v>
          </cell>
          <cell r="AD1052" t="b">
            <v>0</v>
          </cell>
          <cell r="AE1052" t="b">
            <v>0</v>
          </cell>
          <cell r="AF1052" t="str">
            <v/>
          </cell>
        </row>
        <row r="1053">
          <cell r="AA1053" t="b">
            <v>0</v>
          </cell>
          <cell r="AB1053" t="b">
            <v>0</v>
          </cell>
          <cell r="AC1053" t="b">
            <v>0</v>
          </cell>
          <cell r="AD1053" t="b">
            <v>0</v>
          </cell>
          <cell r="AE1053" t="b">
            <v>0</v>
          </cell>
          <cell r="AF1053" t="str">
            <v/>
          </cell>
        </row>
        <row r="1054">
          <cell r="AA1054" t="b">
            <v>0</v>
          </cell>
          <cell r="AB1054" t="b">
            <v>0</v>
          </cell>
          <cell r="AC1054" t="b">
            <v>0</v>
          </cell>
          <cell r="AD1054" t="b">
            <v>0</v>
          </cell>
          <cell r="AE1054" t="b">
            <v>0</v>
          </cell>
          <cell r="AF1054" t="str">
            <v/>
          </cell>
        </row>
        <row r="1055">
          <cell r="AA1055" t="b">
            <v>0</v>
          </cell>
          <cell r="AB1055" t="b">
            <v>0</v>
          </cell>
          <cell r="AC1055" t="b">
            <v>0</v>
          </cell>
          <cell r="AD1055" t="b">
            <v>0</v>
          </cell>
          <cell r="AE1055" t="b">
            <v>0</v>
          </cell>
          <cell r="AF1055" t="str">
            <v/>
          </cell>
        </row>
        <row r="1056">
          <cell r="AA1056" t="b">
            <v>0</v>
          </cell>
          <cell r="AB1056" t="b">
            <v>0</v>
          </cell>
          <cell r="AC1056" t="b">
            <v>0</v>
          </cell>
          <cell r="AD1056" t="b">
            <v>0</v>
          </cell>
          <cell r="AE1056" t="b">
            <v>0</v>
          </cell>
          <cell r="AF1056" t="str">
            <v/>
          </cell>
        </row>
        <row r="1057">
          <cell r="AA1057" t="b">
            <v>0</v>
          </cell>
          <cell r="AB1057" t="b">
            <v>0</v>
          </cell>
          <cell r="AC1057" t="b">
            <v>0</v>
          </cell>
          <cell r="AD1057" t="b">
            <v>0</v>
          </cell>
          <cell r="AE1057" t="b">
            <v>0</v>
          </cell>
          <cell r="AF1057" t="str">
            <v/>
          </cell>
        </row>
        <row r="1058">
          <cell r="AA1058" t="b">
            <v>0</v>
          </cell>
          <cell r="AB1058" t="b">
            <v>0</v>
          </cell>
          <cell r="AC1058" t="b">
            <v>0</v>
          </cell>
          <cell r="AD1058" t="b">
            <v>0</v>
          </cell>
          <cell r="AE1058" t="b">
            <v>0</v>
          </cell>
          <cell r="AF1058" t="str">
            <v/>
          </cell>
        </row>
        <row r="1059">
          <cell r="AA1059" t="b">
            <v>0</v>
          </cell>
          <cell r="AB1059" t="b">
            <v>0</v>
          </cell>
          <cell r="AC1059" t="b">
            <v>0</v>
          </cell>
          <cell r="AD1059" t="b">
            <v>0</v>
          </cell>
          <cell r="AE1059" t="b">
            <v>0</v>
          </cell>
          <cell r="AF1059" t="str">
            <v/>
          </cell>
        </row>
        <row r="1060">
          <cell r="AA1060" t="b">
            <v>0</v>
          </cell>
          <cell r="AB1060" t="b">
            <v>0</v>
          </cell>
          <cell r="AC1060" t="b">
            <v>0</v>
          </cell>
          <cell r="AD1060" t="b">
            <v>0</v>
          </cell>
          <cell r="AE1060" t="b">
            <v>0</v>
          </cell>
          <cell r="AF1060" t="str">
            <v/>
          </cell>
        </row>
        <row r="1061">
          <cell r="AA1061" t="b">
            <v>0</v>
          </cell>
          <cell r="AB1061" t="b">
            <v>0</v>
          </cell>
          <cell r="AC1061" t="b">
            <v>0</v>
          </cell>
          <cell r="AD1061" t="b">
            <v>0</v>
          </cell>
          <cell r="AE1061" t="b">
            <v>0</v>
          </cell>
          <cell r="AF1061" t="str">
            <v/>
          </cell>
        </row>
        <row r="1062">
          <cell r="AA1062" t="b">
            <v>0</v>
          </cell>
          <cell r="AB1062" t="b">
            <v>0</v>
          </cell>
          <cell r="AC1062" t="b">
            <v>0</v>
          </cell>
          <cell r="AD1062" t="b">
            <v>0</v>
          </cell>
          <cell r="AE1062" t="b">
            <v>0</v>
          </cell>
          <cell r="AF1062" t="str">
            <v/>
          </cell>
        </row>
        <row r="1063">
          <cell r="AA1063" t="b">
            <v>0</v>
          </cell>
          <cell r="AB1063" t="b">
            <v>0</v>
          </cell>
          <cell r="AC1063" t="b">
            <v>0</v>
          </cell>
          <cell r="AD1063" t="b">
            <v>0</v>
          </cell>
          <cell r="AE1063" t="b">
            <v>0</v>
          </cell>
          <cell r="AF1063" t="str">
            <v/>
          </cell>
        </row>
        <row r="1064">
          <cell r="AA1064" t="b">
            <v>0</v>
          </cell>
          <cell r="AB1064" t="b">
            <v>0</v>
          </cell>
          <cell r="AC1064" t="b">
            <v>0</v>
          </cell>
          <cell r="AD1064" t="b">
            <v>0</v>
          </cell>
          <cell r="AE1064" t="b">
            <v>0</v>
          </cell>
          <cell r="AF1064" t="str">
            <v/>
          </cell>
        </row>
        <row r="1065">
          <cell r="AA1065" t="b">
            <v>0</v>
          </cell>
          <cell r="AB1065" t="b">
            <v>0</v>
          </cell>
          <cell r="AC1065" t="b">
            <v>0</v>
          </cell>
          <cell r="AD1065" t="b">
            <v>0</v>
          </cell>
          <cell r="AE1065" t="b">
            <v>0</v>
          </cell>
          <cell r="AF1065" t="str">
            <v/>
          </cell>
        </row>
        <row r="1066">
          <cell r="AA1066" t="b">
            <v>0</v>
          </cell>
          <cell r="AB1066" t="b">
            <v>0</v>
          </cell>
          <cell r="AC1066" t="b">
            <v>0</v>
          </cell>
          <cell r="AD1066" t="b">
            <v>0</v>
          </cell>
          <cell r="AE1066" t="b">
            <v>0</v>
          </cell>
          <cell r="AF1066" t="str">
            <v/>
          </cell>
        </row>
        <row r="1067">
          <cell r="AA1067" t="b">
            <v>0</v>
          </cell>
          <cell r="AB1067" t="b">
            <v>0</v>
          </cell>
          <cell r="AC1067" t="b">
            <v>0</v>
          </cell>
          <cell r="AD1067" t="b">
            <v>0</v>
          </cell>
          <cell r="AE1067" t="b">
            <v>0</v>
          </cell>
          <cell r="AF1067" t="str">
            <v/>
          </cell>
        </row>
        <row r="1068">
          <cell r="AA1068" t="b">
            <v>0</v>
          </cell>
          <cell r="AB1068" t="b">
            <v>0</v>
          </cell>
          <cell r="AC1068" t="b">
            <v>0</v>
          </cell>
          <cell r="AD1068" t="b">
            <v>0</v>
          </cell>
          <cell r="AE1068" t="b">
            <v>0</v>
          </cell>
          <cell r="AF1068" t="str">
            <v/>
          </cell>
        </row>
        <row r="1069">
          <cell r="AA1069" t="b">
            <v>0</v>
          </cell>
          <cell r="AB1069" t="b">
            <v>0</v>
          </cell>
          <cell r="AC1069" t="b">
            <v>0</v>
          </cell>
          <cell r="AD1069" t="b">
            <v>0</v>
          </cell>
          <cell r="AE1069" t="b">
            <v>0</v>
          </cell>
          <cell r="AF1069" t="str">
            <v/>
          </cell>
        </row>
        <row r="1070">
          <cell r="AA1070" t="b">
            <v>0</v>
          </cell>
          <cell r="AB1070" t="b">
            <v>0</v>
          </cell>
          <cell r="AC1070" t="b">
            <v>0</v>
          </cell>
          <cell r="AD1070" t="b">
            <v>0</v>
          </cell>
          <cell r="AE1070" t="b">
            <v>0</v>
          </cell>
          <cell r="AF1070" t="str">
            <v/>
          </cell>
        </row>
        <row r="1071">
          <cell r="AA1071" t="b">
            <v>0</v>
          </cell>
          <cell r="AB1071" t="b">
            <v>0</v>
          </cell>
          <cell r="AC1071" t="b">
            <v>0</v>
          </cell>
          <cell r="AD1071" t="b">
            <v>0</v>
          </cell>
          <cell r="AE1071" t="b">
            <v>0</v>
          </cell>
          <cell r="AF1071" t="str">
            <v/>
          </cell>
        </row>
        <row r="1072">
          <cell r="AA1072" t="b">
            <v>0</v>
          </cell>
          <cell r="AB1072" t="b">
            <v>0</v>
          </cell>
          <cell r="AC1072" t="b">
            <v>0</v>
          </cell>
          <cell r="AD1072" t="b">
            <v>0</v>
          </cell>
          <cell r="AE1072" t="b">
            <v>0</v>
          </cell>
          <cell r="AF1072" t="str">
            <v/>
          </cell>
        </row>
        <row r="1073">
          <cell r="AA1073" t="b">
            <v>0</v>
          </cell>
          <cell r="AB1073" t="b">
            <v>0</v>
          </cell>
          <cell r="AC1073" t="b">
            <v>0</v>
          </cell>
          <cell r="AD1073" t="b">
            <v>0</v>
          </cell>
          <cell r="AE1073" t="b">
            <v>0</v>
          </cell>
          <cell r="AF1073" t="str">
            <v/>
          </cell>
        </row>
        <row r="1074">
          <cell r="AA1074" t="b">
            <v>0</v>
          </cell>
          <cell r="AB1074" t="b">
            <v>0</v>
          </cell>
          <cell r="AC1074" t="b">
            <v>0</v>
          </cell>
          <cell r="AD1074" t="b">
            <v>0</v>
          </cell>
          <cell r="AE1074" t="b">
            <v>0</v>
          </cell>
          <cell r="AF1074" t="str">
            <v/>
          </cell>
        </row>
        <row r="1075">
          <cell r="AA1075" t="b">
            <v>0</v>
          </cell>
          <cell r="AB1075" t="b">
            <v>0</v>
          </cell>
          <cell r="AC1075" t="b">
            <v>0</v>
          </cell>
          <cell r="AD1075" t="b">
            <v>0</v>
          </cell>
          <cell r="AE1075" t="b">
            <v>0</v>
          </cell>
          <cell r="AF1075" t="str">
            <v/>
          </cell>
        </row>
        <row r="1076">
          <cell r="AA1076" t="b">
            <v>0</v>
          </cell>
          <cell r="AB1076" t="b">
            <v>0</v>
          </cell>
          <cell r="AC1076" t="b">
            <v>0</v>
          </cell>
          <cell r="AD1076" t="b">
            <v>0</v>
          </cell>
          <cell r="AE1076" t="b">
            <v>0</v>
          </cell>
          <cell r="AF1076" t="str">
            <v/>
          </cell>
        </row>
        <row r="1077">
          <cell r="AA1077" t="b">
            <v>0</v>
          </cell>
          <cell r="AB1077" t="b">
            <v>0</v>
          </cell>
          <cell r="AC1077" t="b">
            <v>0</v>
          </cell>
          <cell r="AD1077" t="b">
            <v>0</v>
          </cell>
          <cell r="AE1077" t="b">
            <v>0</v>
          </cell>
          <cell r="AF1077" t="str">
            <v/>
          </cell>
        </row>
        <row r="1078">
          <cell r="AA1078" t="b">
            <v>0</v>
          </cell>
          <cell r="AB1078" t="b">
            <v>0</v>
          </cell>
          <cell r="AC1078" t="b">
            <v>0</v>
          </cell>
          <cell r="AD1078" t="b">
            <v>0</v>
          </cell>
          <cell r="AE1078" t="b">
            <v>0</v>
          </cell>
          <cell r="AF1078" t="str">
            <v/>
          </cell>
        </row>
        <row r="1079">
          <cell r="AA1079" t="b">
            <v>0</v>
          </cell>
          <cell r="AB1079" t="b">
            <v>0</v>
          </cell>
          <cell r="AC1079" t="b">
            <v>0</v>
          </cell>
          <cell r="AD1079" t="b">
            <v>0</v>
          </cell>
          <cell r="AE1079" t="b">
            <v>0</v>
          </cell>
          <cell r="AF1079" t="str">
            <v/>
          </cell>
        </row>
        <row r="1080">
          <cell r="AA1080" t="b">
            <v>0</v>
          </cell>
          <cell r="AB1080" t="b">
            <v>0</v>
          </cell>
          <cell r="AC1080" t="b">
            <v>0</v>
          </cell>
          <cell r="AD1080" t="b">
            <v>0</v>
          </cell>
          <cell r="AE1080" t="b">
            <v>0</v>
          </cell>
          <cell r="AF1080" t="str">
            <v/>
          </cell>
        </row>
        <row r="1081">
          <cell r="AA1081" t="b">
            <v>0</v>
          </cell>
          <cell r="AB1081" t="b">
            <v>0</v>
          </cell>
          <cell r="AC1081" t="b">
            <v>0</v>
          </cell>
          <cell r="AD1081" t="b">
            <v>0</v>
          </cell>
          <cell r="AE1081" t="b">
            <v>0</v>
          </cell>
          <cell r="AF1081" t="str">
            <v/>
          </cell>
        </row>
        <row r="1082">
          <cell r="AA1082" t="b">
            <v>0</v>
          </cell>
          <cell r="AB1082" t="b">
            <v>0</v>
          </cell>
          <cell r="AC1082" t="b">
            <v>0</v>
          </cell>
          <cell r="AD1082" t="b">
            <v>0</v>
          </cell>
          <cell r="AE1082" t="b">
            <v>0</v>
          </cell>
          <cell r="AF1082" t="str">
            <v/>
          </cell>
        </row>
        <row r="1083">
          <cell r="AA1083" t="b">
            <v>0</v>
          </cell>
          <cell r="AB1083" t="b">
            <v>0</v>
          </cell>
          <cell r="AC1083" t="b">
            <v>0</v>
          </cell>
          <cell r="AD1083" t="b">
            <v>0</v>
          </cell>
          <cell r="AE1083" t="b">
            <v>0</v>
          </cell>
          <cell r="AF1083" t="str">
            <v/>
          </cell>
        </row>
        <row r="1084">
          <cell r="AA1084" t="b">
            <v>0</v>
          </cell>
          <cell r="AB1084" t="b">
            <v>0</v>
          </cell>
          <cell r="AC1084" t="b">
            <v>0</v>
          </cell>
          <cell r="AD1084" t="b">
            <v>0</v>
          </cell>
          <cell r="AE1084" t="b">
            <v>0</v>
          </cell>
          <cell r="AF1084" t="str">
            <v/>
          </cell>
        </row>
        <row r="1085">
          <cell r="AA1085" t="b">
            <v>0</v>
          </cell>
          <cell r="AB1085" t="b">
            <v>0</v>
          </cell>
          <cell r="AC1085" t="b">
            <v>0</v>
          </cell>
          <cell r="AD1085" t="b">
            <v>0</v>
          </cell>
          <cell r="AE1085" t="b">
            <v>0</v>
          </cell>
          <cell r="AF1085" t="str">
            <v/>
          </cell>
        </row>
        <row r="1086">
          <cell r="AA1086" t="b">
            <v>0</v>
          </cell>
          <cell r="AB1086" t="b">
            <v>0</v>
          </cell>
          <cell r="AC1086" t="b">
            <v>0</v>
          </cell>
          <cell r="AD1086" t="b">
            <v>0</v>
          </cell>
          <cell r="AE1086" t="b">
            <v>0</v>
          </cell>
          <cell r="AF1086" t="str">
            <v/>
          </cell>
        </row>
        <row r="1087">
          <cell r="AA1087" t="b">
            <v>0</v>
          </cell>
          <cell r="AB1087" t="b">
            <v>0</v>
          </cell>
          <cell r="AC1087" t="b">
            <v>0</v>
          </cell>
          <cell r="AD1087" t="b">
            <v>0</v>
          </cell>
          <cell r="AE1087" t="b">
            <v>0</v>
          </cell>
          <cell r="AF1087" t="str">
            <v/>
          </cell>
        </row>
        <row r="1088">
          <cell r="AA1088" t="b">
            <v>0</v>
          </cell>
          <cell r="AB1088" t="b">
            <v>0</v>
          </cell>
          <cell r="AC1088" t="b">
            <v>0</v>
          </cell>
          <cell r="AD1088" t="b">
            <v>0</v>
          </cell>
          <cell r="AE1088" t="b">
            <v>0</v>
          </cell>
          <cell r="AF1088" t="str">
            <v/>
          </cell>
        </row>
        <row r="1089">
          <cell r="AA1089" t="b">
            <v>0</v>
          </cell>
          <cell r="AB1089" t="b">
            <v>0</v>
          </cell>
          <cell r="AC1089" t="b">
            <v>0</v>
          </cell>
          <cell r="AD1089" t="b">
            <v>0</v>
          </cell>
          <cell r="AE1089" t="b">
            <v>0</v>
          </cell>
          <cell r="AF1089" t="str">
            <v/>
          </cell>
        </row>
        <row r="1090">
          <cell r="AA1090" t="b">
            <v>0</v>
          </cell>
          <cell r="AB1090" t="b">
            <v>0</v>
          </cell>
          <cell r="AC1090" t="b">
            <v>0</v>
          </cell>
          <cell r="AD1090" t="b">
            <v>0</v>
          </cell>
          <cell r="AE1090" t="b">
            <v>0</v>
          </cell>
          <cell r="AF1090" t="str">
            <v/>
          </cell>
        </row>
        <row r="1091">
          <cell r="AA1091" t="b">
            <v>0</v>
          </cell>
          <cell r="AB1091" t="b">
            <v>0</v>
          </cell>
          <cell r="AC1091" t="b">
            <v>0</v>
          </cell>
          <cell r="AD1091" t="b">
            <v>0</v>
          </cell>
          <cell r="AE1091" t="b">
            <v>0</v>
          </cell>
          <cell r="AF1091" t="str">
            <v/>
          </cell>
        </row>
        <row r="1092">
          <cell r="AA1092" t="b">
            <v>0</v>
          </cell>
          <cell r="AB1092" t="b">
            <v>0</v>
          </cell>
          <cell r="AC1092" t="b">
            <v>0</v>
          </cell>
          <cell r="AD1092" t="b">
            <v>0</v>
          </cell>
          <cell r="AE1092" t="b">
            <v>0</v>
          </cell>
          <cell r="AF1092" t="str">
            <v/>
          </cell>
        </row>
        <row r="1093">
          <cell r="AA1093" t="b">
            <v>0</v>
          </cell>
          <cell r="AB1093" t="b">
            <v>0</v>
          </cell>
          <cell r="AC1093" t="b">
            <v>0</v>
          </cell>
          <cell r="AD1093" t="b">
            <v>0</v>
          </cell>
          <cell r="AE1093" t="b">
            <v>0</v>
          </cell>
          <cell r="AF1093" t="str">
            <v/>
          </cell>
        </row>
        <row r="1094">
          <cell r="AA1094" t="b">
            <v>0</v>
          </cell>
          <cell r="AB1094" t="b">
            <v>0</v>
          </cell>
          <cell r="AC1094" t="b">
            <v>0</v>
          </cell>
          <cell r="AD1094" t="b">
            <v>0</v>
          </cell>
          <cell r="AE1094" t="b">
            <v>0</v>
          </cell>
          <cell r="AF1094" t="str">
            <v/>
          </cell>
        </row>
        <row r="1095">
          <cell r="AA1095" t="b">
            <v>0</v>
          </cell>
          <cell r="AB1095" t="b">
            <v>0</v>
          </cell>
          <cell r="AC1095" t="b">
            <v>0</v>
          </cell>
          <cell r="AD1095" t="b">
            <v>0</v>
          </cell>
          <cell r="AE1095" t="b">
            <v>0</v>
          </cell>
          <cell r="AF1095" t="str">
            <v/>
          </cell>
        </row>
        <row r="1096">
          <cell r="AA1096" t="b">
            <v>0</v>
          </cell>
          <cell r="AB1096" t="b">
            <v>0</v>
          </cell>
          <cell r="AC1096" t="b">
            <v>0</v>
          </cell>
          <cell r="AD1096" t="b">
            <v>0</v>
          </cell>
          <cell r="AE1096" t="b">
            <v>0</v>
          </cell>
          <cell r="AF1096" t="str">
            <v/>
          </cell>
        </row>
        <row r="1097">
          <cell r="AA1097" t="b">
            <v>0</v>
          </cell>
          <cell r="AB1097" t="b">
            <v>0</v>
          </cell>
          <cell r="AC1097" t="b">
            <v>0</v>
          </cell>
          <cell r="AD1097" t="b">
            <v>0</v>
          </cell>
          <cell r="AE1097" t="b">
            <v>0</v>
          </cell>
          <cell r="AF1097" t="str">
            <v/>
          </cell>
        </row>
        <row r="1098">
          <cell r="AA1098" t="b">
            <v>0</v>
          </cell>
          <cell r="AB1098" t="b">
            <v>0</v>
          </cell>
          <cell r="AC1098" t="b">
            <v>0</v>
          </cell>
          <cell r="AD1098" t="b">
            <v>0</v>
          </cell>
          <cell r="AE1098" t="b">
            <v>0</v>
          </cell>
          <cell r="AF1098" t="str">
            <v/>
          </cell>
        </row>
        <row r="1099">
          <cell r="AA1099" t="b">
            <v>0</v>
          </cell>
          <cell r="AB1099" t="b">
            <v>0</v>
          </cell>
          <cell r="AC1099" t="b">
            <v>0</v>
          </cell>
          <cell r="AD1099" t="b">
            <v>0</v>
          </cell>
          <cell r="AE1099" t="b">
            <v>0</v>
          </cell>
          <cell r="AF1099" t="str">
            <v/>
          </cell>
        </row>
        <row r="1100">
          <cell r="AA1100" t="b">
            <v>0</v>
          </cell>
          <cell r="AB1100" t="b">
            <v>0</v>
          </cell>
          <cell r="AC1100" t="b">
            <v>0</v>
          </cell>
          <cell r="AD1100" t="b">
            <v>0</v>
          </cell>
          <cell r="AE1100" t="b">
            <v>0</v>
          </cell>
          <cell r="AF1100" t="str">
            <v/>
          </cell>
        </row>
        <row r="1101">
          <cell r="AA1101" t="b">
            <v>0</v>
          </cell>
          <cell r="AB1101" t="b">
            <v>0</v>
          </cell>
          <cell r="AC1101" t="b">
            <v>0</v>
          </cell>
          <cell r="AD1101" t="b">
            <v>0</v>
          </cell>
          <cell r="AE1101" t="b">
            <v>0</v>
          </cell>
          <cell r="AF1101" t="str">
            <v/>
          </cell>
        </row>
        <row r="1102">
          <cell r="AA1102" t="b">
            <v>0</v>
          </cell>
          <cell r="AB1102" t="b">
            <v>0</v>
          </cell>
          <cell r="AC1102" t="b">
            <v>0</v>
          </cell>
          <cell r="AD1102" t="b">
            <v>0</v>
          </cell>
          <cell r="AE1102" t="b">
            <v>0</v>
          </cell>
          <cell r="AF1102" t="str">
            <v/>
          </cell>
        </row>
        <row r="1103">
          <cell r="AA1103" t="b">
            <v>0</v>
          </cell>
          <cell r="AB1103" t="b">
            <v>0</v>
          </cell>
          <cell r="AC1103" t="b">
            <v>0</v>
          </cell>
          <cell r="AD1103" t="b">
            <v>0</v>
          </cell>
          <cell r="AE1103" t="b">
            <v>0</v>
          </cell>
          <cell r="AF1103" t="str">
            <v/>
          </cell>
        </row>
        <row r="1104">
          <cell r="AA1104" t="b">
            <v>0</v>
          </cell>
          <cell r="AB1104" t="b">
            <v>0</v>
          </cell>
          <cell r="AC1104" t="b">
            <v>0</v>
          </cell>
          <cell r="AD1104" t="b">
            <v>0</v>
          </cell>
          <cell r="AE1104" t="b">
            <v>0</v>
          </cell>
          <cell r="AF1104" t="str">
            <v/>
          </cell>
        </row>
        <row r="1105">
          <cell r="AA1105" t="b">
            <v>0</v>
          </cell>
          <cell r="AB1105" t="b">
            <v>0</v>
          </cell>
          <cell r="AC1105" t="b">
            <v>0</v>
          </cell>
          <cell r="AD1105" t="b">
            <v>0</v>
          </cell>
          <cell r="AE1105" t="b">
            <v>0</v>
          </cell>
          <cell r="AF1105" t="str">
            <v/>
          </cell>
        </row>
        <row r="1106">
          <cell r="AA1106" t="b">
            <v>0</v>
          </cell>
          <cell r="AB1106" t="b">
            <v>0</v>
          </cell>
          <cell r="AC1106" t="b">
            <v>0</v>
          </cell>
          <cell r="AD1106" t="b">
            <v>0</v>
          </cell>
          <cell r="AE1106" t="b">
            <v>0</v>
          </cell>
          <cell r="AF1106" t="str">
            <v/>
          </cell>
        </row>
        <row r="1107">
          <cell r="AA1107" t="b">
            <v>0</v>
          </cell>
          <cell r="AB1107" t="b">
            <v>0</v>
          </cell>
          <cell r="AC1107" t="b">
            <v>0</v>
          </cell>
          <cell r="AD1107" t="b">
            <v>0</v>
          </cell>
          <cell r="AE1107" t="b">
            <v>0</v>
          </cell>
          <cell r="AF1107" t="str">
            <v/>
          </cell>
        </row>
        <row r="1108">
          <cell r="AA1108" t="b">
            <v>0</v>
          </cell>
          <cell r="AB1108" t="b">
            <v>0</v>
          </cell>
          <cell r="AC1108" t="b">
            <v>0</v>
          </cell>
          <cell r="AD1108" t="b">
            <v>0</v>
          </cell>
          <cell r="AE1108" t="b">
            <v>0</v>
          </cell>
          <cell r="AF1108" t="str">
            <v/>
          </cell>
        </row>
        <row r="1109">
          <cell r="AA1109" t="b">
            <v>0</v>
          </cell>
          <cell r="AB1109" t="b">
            <v>0</v>
          </cell>
          <cell r="AC1109" t="b">
            <v>0</v>
          </cell>
          <cell r="AD1109" t="b">
            <v>0</v>
          </cell>
          <cell r="AE1109" t="b">
            <v>0</v>
          </cell>
          <cell r="AF1109" t="str">
            <v/>
          </cell>
        </row>
        <row r="1110">
          <cell r="AA1110" t="b">
            <v>0</v>
          </cell>
          <cell r="AB1110" t="b">
            <v>0</v>
          </cell>
          <cell r="AC1110" t="b">
            <v>0</v>
          </cell>
          <cell r="AD1110" t="b">
            <v>0</v>
          </cell>
          <cell r="AE1110" t="b">
            <v>0</v>
          </cell>
          <cell r="AF1110" t="str">
            <v/>
          </cell>
        </row>
        <row r="1111">
          <cell r="AA1111" t="b">
            <v>0</v>
          </cell>
          <cell r="AB1111" t="b">
            <v>0</v>
          </cell>
          <cell r="AC1111" t="b">
            <v>0</v>
          </cell>
          <cell r="AD1111" t="b">
            <v>0</v>
          </cell>
          <cell r="AE1111" t="b">
            <v>0</v>
          </cell>
          <cell r="AF1111" t="str">
            <v/>
          </cell>
        </row>
        <row r="1112">
          <cell r="AA1112" t="b">
            <v>0</v>
          </cell>
          <cell r="AB1112" t="b">
            <v>0</v>
          </cell>
          <cell r="AC1112" t="b">
            <v>0</v>
          </cell>
          <cell r="AD1112" t="b">
            <v>0</v>
          </cell>
          <cell r="AE1112" t="b">
            <v>0</v>
          </cell>
          <cell r="AF1112" t="str">
            <v/>
          </cell>
        </row>
        <row r="1113">
          <cell r="AA1113" t="b">
            <v>0</v>
          </cell>
          <cell r="AB1113" t="b">
            <v>0</v>
          </cell>
          <cell r="AC1113" t="b">
            <v>0</v>
          </cell>
          <cell r="AD1113" t="b">
            <v>0</v>
          </cell>
          <cell r="AE1113" t="b">
            <v>0</v>
          </cell>
          <cell r="AF1113" t="str">
            <v/>
          </cell>
        </row>
        <row r="1114">
          <cell r="AA1114" t="b">
            <v>0</v>
          </cell>
          <cell r="AB1114" t="b">
            <v>0</v>
          </cell>
          <cell r="AC1114" t="b">
            <v>0</v>
          </cell>
          <cell r="AD1114" t="b">
            <v>0</v>
          </cell>
          <cell r="AE1114" t="b">
            <v>0</v>
          </cell>
          <cell r="AF1114" t="str">
            <v/>
          </cell>
        </row>
        <row r="1115">
          <cell r="AA1115" t="b">
            <v>0</v>
          </cell>
          <cell r="AB1115" t="b">
            <v>0</v>
          </cell>
          <cell r="AC1115" t="b">
            <v>0</v>
          </cell>
          <cell r="AD1115" t="b">
            <v>0</v>
          </cell>
          <cell r="AE1115" t="b">
            <v>0</v>
          </cell>
          <cell r="AF1115" t="str">
            <v/>
          </cell>
        </row>
        <row r="1116">
          <cell r="AA1116" t="b">
            <v>0</v>
          </cell>
          <cell r="AB1116" t="b">
            <v>0</v>
          </cell>
          <cell r="AC1116" t="b">
            <v>0</v>
          </cell>
          <cell r="AD1116" t="b">
            <v>0</v>
          </cell>
          <cell r="AE1116" t="b">
            <v>0</v>
          </cell>
          <cell r="AF1116" t="str">
            <v/>
          </cell>
        </row>
        <row r="1117">
          <cell r="AA1117" t="b">
            <v>0</v>
          </cell>
          <cell r="AB1117" t="b">
            <v>0</v>
          </cell>
          <cell r="AC1117" t="b">
            <v>0</v>
          </cell>
          <cell r="AD1117" t="b">
            <v>0</v>
          </cell>
          <cell r="AE1117" t="b">
            <v>0</v>
          </cell>
          <cell r="AF1117" t="str">
            <v/>
          </cell>
        </row>
        <row r="1118">
          <cell r="AA1118" t="b">
            <v>0</v>
          </cell>
          <cell r="AB1118" t="b">
            <v>0</v>
          </cell>
          <cell r="AC1118" t="b">
            <v>0</v>
          </cell>
          <cell r="AD1118" t="b">
            <v>0</v>
          </cell>
          <cell r="AE1118" t="b">
            <v>0</v>
          </cell>
          <cell r="AF1118" t="str">
            <v/>
          </cell>
        </row>
        <row r="1119">
          <cell r="AA1119" t="b">
            <v>0</v>
          </cell>
          <cell r="AB1119" t="b">
            <v>0</v>
          </cell>
          <cell r="AC1119" t="b">
            <v>0</v>
          </cell>
          <cell r="AD1119" t="b">
            <v>0</v>
          </cell>
          <cell r="AE1119" t="b">
            <v>0</v>
          </cell>
          <cell r="AF1119" t="str">
            <v/>
          </cell>
        </row>
        <row r="1120">
          <cell r="AA1120" t="b">
            <v>0</v>
          </cell>
          <cell r="AB1120" t="b">
            <v>0</v>
          </cell>
          <cell r="AC1120" t="b">
            <v>0</v>
          </cell>
          <cell r="AD1120" t="b">
            <v>0</v>
          </cell>
          <cell r="AE1120" t="b">
            <v>0</v>
          </cell>
          <cell r="AF1120" t="str">
            <v/>
          </cell>
        </row>
        <row r="1121">
          <cell r="AA1121" t="b">
            <v>0</v>
          </cell>
          <cell r="AB1121" t="b">
            <v>0</v>
          </cell>
          <cell r="AC1121" t="b">
            <v>0</v>
          </cell>
          <cell r="AD1121" t="b">
            <v>0</v>
          </cell>
          <cell r="AE1121" t="b">
            <v>0</v>
          </cell>
          <cell r="AF1121" t="str">
            <v/>
          </cell>
        </row>
        <row r="1122">
          <cell r="AA1122" t="b">
            <v>0</v>
          </cell>
          <cell r="AB1122" t="b">
            <v>0</v>
          </cell>
          <cell r="AC1122" t="b">
            <v>0</v>
          </cell>
          <cell r="AD1122" t="b">
            <v>0</v>
          </cell>
          <cell r="AE1122" t="b">
            <v>0</v>
          </cell>
          <cell r="AF1122" t="str">
            <v/>
          </cell>
        </row>
        <row r="1123">
          <cell r="AA1123" t="b">
            <v>0</v>
          </cell>
          <cell r="AB1123" t="b">
            <v>0</v>
          </cell>
          <cell r="AC1123" t="b">
            <v>0</v>
          </cell>
          <cell r="AD1123" t="b">
            <v>0</v>
          </cell>
          <cell r="AE1123" t="b">
            <v>0</v>
          </cell>
          <cell r="AF1123" t="str">
            <v/>
          </cell>
        </row>
        <row r="1124">
          <cell r="AA1124" t="b">
            <v>0</v>
          </cell>
          <cell r="AB1124" t="b">
            <v>0</v>
          </cell>
          <cell r="AC1124" t="b">
            <v>0</v>
          </cell>
          <cell r="AD1124" t="b">
            <v>0</v>
          </cell>
          <cell r="AE1124" t="b">
            <v>0</v>
          </cell>
          <cell r="AF1124" t="str">
            <v/>
          </cell>
        </row>
        <row r="1125">
          <cell r="AA1125" t="b">
            <v>0</v>
          </cell>
          <cell r="AB1125" t="b">
            <v>0</v>
          </cell>
          <cell r="AC1125" t="b">
            <v>0</v>
          </cell>
          <cell r="AD1125" t="b">
            <v>0</v>
          </cell>
          <cell r="AE1125" t="b">
            <v>0</v>
          </cell>
          <cell r="AF1125" t="str">
            <v/>
          </cell>
        </row>
        <row r="1126">
          <cell r="AA1126" t="b">
            <v>0</v>
          </cell>
          <cell r="AB1126" t="b">
            <v>0</v>
          </cell>
          <cell r="AC1126" t="b">
            <v>0</v>
          </cell>
          <cell r="AD1126" t="b">
            <v>0</v>
          </cell>
          <cell r="AE1126" t="b">
            <v>0</v>
          </cell>
          <cell r="AF1126" t="str">
            <v/>
          </cell>
        </row>
        <row r="1127">
          <cell r="AA1127" t="b">
            <v>0</v>
          </cell>
          <cell r="AB1127" t="b">
            <v>0</v>
          </cell>
          <cell r="AC1127" t="b">
            <v>0</v>
          </cell>
          <cell r="AD1127" t="b">
            <v>0</v>
          </cell>
          <cell r="AE1127" t="b">
            <v>0</v>
          </cell>
          <cell r="AF1127" t="str">
            <v/>
          </cell>
        </row>
        <row r="1128">
          <cell r="AA1128" t="b">
            <v>0</v>
          </cell>
          <cell r="AB1128" t="b">
            <v>0</v>
          </cell>
          <cell r="AC1128" t="b">
            <v>0</v>
          </cell>
          <cell r="AD1128" t="b">
            <v>0</v>
          </cell>
          <cell r="AE1128" t="b">
            <v>0</v>
          </cell>
          <cell r="AF1128" t="str">
            <v/>
          </cell>
        </row>
        <row r="1129">
          <cell r="AA1129" t="b">
            <v>0</v>
          </cell>
          <cell r="AB1129" t="b">
            <v>0</v>
          </cell>
          <cell r="AC1129" t="b">
            <v>0</v>
          </cell>
          <cell r="AD1129" t="b">
            <v>0</v>
          </cell>
          <cell r="AE1129" t="b">
            <v>0</v>
          </cell>
          <cell r="AF1129" t="str">
            <v/>
          </cell>
        </row>
        <row r="1130">
          <cell r="AA1130" t="b">
            <v>0</v>
          </cell>
          <cell r="AB1130" t="b">
            <v>0</v>
          </cell>
          <cell r="AC1130" t="b">
            <v>0</v>
          </cell>
          <cell r="AD1130" t="b">
            <v>0</v>
          </cell>
          <cell r="AE1130" t="b">
            <v>0</v>
          </cell>
          <cell r="AF1130" t="str">
            <v/>
          </cell>
        </row>
        <row r="1131">
          <cell r="AA1131" t="b">
            <v>0</v>
          </cell>
          <cell r="AB1131" t="b">
            <v>0</v>
          </cell>
          <cell r="AC1131" t="b">
            <v>0</v>
          </cell>
          <cell r="AD1131" t="b">
            <v>0</v>
          </cell>
          <cell r="AE1131" t="b">
            <v>0</v>
          </cell>
          <cell r="AF1131" t="str">
            <v/>
          </cell>
        </row>
        <row r="1132">
          <cell r="AA1132" t="b">
            <v>0</v>
          </cell>
          <cell r="AB1132" t="b">
            <v>0</v>
          </cell>
          <cell r="AC1132" t="b">
            <v>0</v>
          </cell>
          <cell r="AD1132" t="b">
            <v>0</v>
          </cell>
          <cell r="AE1132" t="b">
            <v>0</v>
          </cell>
          <cell r="AF1132" t="str">
            <v/>
          </cell>
        </row>
        <row r="1133">
          <cell r="AA1133" t="b">
            <v>0</v>
          </cell>
          <cell r="AB1133" t="b">
            <v>0</v>
          </cell>
          <cell r="AC1133" t="b">
            <v>0</v>
          </cell>
          <cell r="AD1133" t="b">
            <v>0</v>
          </cell>
          <cell r="AE1133" t="b">
            <v>0</v>
          </cell>
          <cell r="AF1133" t="str">
            <v/>
          </cell>
        </row>
        <row r="1134">
          <cell r="AA1134" t="b">
            <v>0</v>
          </cell>
          <cell r="AB1134" t="b">
            <v>0</v>
          </cell>
          <cell r="AC1134" t="b">
            <v>0</v>
          </cell>
          <cell r="AD1134" t="b">
            <v>0</v>
          </cell>
          <cell r="AE1134" t="b">
            <v>0</v>
          </cell>
          <cell r="AF1134" t="str">
            <v/>
          </cell>
        </row>
        <row r="1135">
          <cell r="AA1135" t="b">
            <v>0</v>
          </cell>
          <cell r="AB1135" t="b">
            <v>0</v>
          </cell>
          <cell r="AC1135" t="b">
            <v>0</v>
          </cell>
          <cell r="AD1135" t="b">
            <v>0</v>
          </cell>
          <cell r="AE1135" t="b">
            <v>0</v>
          </cell>
          <cell r="AF1135" t="str">
            <v/>
          </cell>
        </row>
        <row r="1136">
          <cell r="AA1136" t="b">
            <v>0</v>
          </cell>
          <cell r="AB1136" t="b">
            <v>0</v>
          </cell>
          <cell r="AC1136" t="b">
            <v>0</v>
          </cell>
          <cell r="AD1136" t="b">
            <v>0</v>
          </cell>
          <cell r="AE1136" t="b">
            <v>0</v>
          </cell>
          <cell r="AF1136" t="str">
            <v/>
          </cell>
        </row>
        <row r="1137">
          <cell r="AA1137" t="b">
            <v>0</v>
          </cell>
          <cell r="AB1137" t="b">
            <v>0</v>
          </cell>
          <cell r="AC1137" t="b">
            <v>0</v>
          </cell>
          <cell r="AD1137" t="b">
            <v>0</v>
          </cell>
          <cell r="AE1137" t="b">
            <v>0</v>
          </cell>
          <cell r="AF1137" t="str">
            <v/>
          </cell>
        </row>
        <row r="1138">
          <cell r="AA1138" t="b">
            <v>0</v>
          </cell>
          <cell r="AB1138" t="b">
            <v>0</v>
          </cell>
          <cell r="AC1138" t="b">
            <v>0</v>
          </cell>
          <cell r="AD1138" t="b">
            <v>0</v>
          </cell>
          <cell r="AE1138" t="b">
            <v>0</v>
          </cell>
          <cell r="AF1138" t="str">
            <v/>
          </cell>
        </row>
        <row r="1139">
          <cell r="AA1139" t="b">
            <v>0</v>
          </cell>
          <cell r="AB1139" t="b">
            <v>0</v>
          </cell>
          <cell r="AC1139" t="b">
            <v>0</v>
          </cell>
          <cell r="AD1139" t="b">
            <v>0</v>
          </cell>
          <cell r="AE1139" t="b">
            <v>0</v>
          </cell>
          <cell r="AF1139" t="str">
            <v/>
          </cell>
        </row>
        <row r="1140">
          <cell r="AA1140" t="b">
            <v>0</v>
          </cell>
          <cell r="AB1140" t="b">
            <v>0</v>
          </cell>
          <cell r="AC1140" t="b">
            <v>0</v>
          </cell>
          <cell r="AD1140" t="b">
            <v>0</v>
          </cell>
          <cell r="AE1140" t="b">
            <v>0</v>
          </cell>
          <cell r="AF1140" t="str">
            <v/>
          </cell>
        </row>
        <row r="1141">
          <cell r="AA1141" t="b">
            <v>0</v>
          </cell>
          <cell r="AB1141" t="b">
            <v>0</v>
          </cell>
          <cell r="AC1141" t="b">
            <v>0</v>
          </cell>
          <cell r="AD1141" t="b">
            <v>0</v>
          </cell>
          <cell r="AE1141" t="b">
            <v>0</v>
          </cell>
          <cell r="AF1141" t="str">
            <v/>
          </cell>
        </row>
        <row r="1142">
          <cell r="AA1142" t="b">
            <v>0</v>
          </cell>
          <cell r="AB1142" t="b">
            <v>0</v>
          </cell>
          <cell r="AC1142" t="b">
            <v>0</v>
          </cell>
          <cell r="AD1142" t="b">
            <v>0</v>
          </cell>
          <cell r="AE1142" t="b">
            <v>0</v>
          </cell>
          <cell r="AF1142" t="str">
            <v/>
          </cell>
        </row>
        <row r="1143">
          <cell r="AA1143" t="b">
            <v>0</v>
          </cell>
          <cell r="AB1143" t="b">
            <v>0</v>
          </cell>
          <cell r="AC1143" t="b">
            <v>0</v>
          </cell>
          <cell r="AD1143" t="b">
            <v>0</v>
          </cell>
          <cell r="AE1143" t="b">
            <v>0</v>
          </cell>
          <cell r="AF1143" t="str">
            <v/>
          </cell>
        </row>
        <row r="1144">
          <cell r="AA1144" t="b">
            <v>0</v>
          </cell>
          <cell r="AB1144" t="b">
            <v>0</v>
          </cell>
          <cell r="AC1144" t="b">
            <v>0</v>
          </cell>
          <cell r="AD1144" t="b">
            <v>0</v>
          </cell>
          <cell r="AE1144" t="b">
            <v>0</v>
          </cell>
          <cell r="AF1144" t="str">
            <v/>
          </cell>
        </row>
        <row r="1145">
          <cell r="AA1145" t="b">
            <v>0</v>
          </cell>
          <cell r="AB1145" t="b">
            <v>0</v>
          </cell>
          <cell r="AC1145" t="b">
            <v>0</v>
          </cell>
          <cell r="AD1145" t="b">
            <v>0</v>
          </cell>
          <cell r="AE1145" t="b">
            <v>0</v>
          </cell>
          <cell r="AF1145" t="str">
            <v/>
          </cell>
        </row>
        <row r="1146">
          <cell r="AA1146" t="b">
            <v>0</v>
          </cell>
          <cell r="AB1146" t="b">
            <v>0</v>
          </cell>
          <cell r="AC1146" t="b">
            <v>0</v>
          </cell>
          <cell r="AD1146" t="b">
            <v>0</v>
          </cell>
          <cell r="AE1146" t="b">
            <v>0</v>
          </cell>
          <cell r="AF1146" t="str">
            <v/>
          </cell>
        </row>
        <row r="1147">
          <cell r="AA1147" t="b">
            <v>0</v>
          </cell>
          <cell r="AB1147" t="b">
            <v>0</v>
          </cell>
          <cell r="AC1147" t="b">
            <v>0</v>
          </cell>
          <cell r="AD1147" t="b">
            <v>0</v>
          </cell>
          <cell r="AE1147" t="b">
            <v>0</v>
          </cell>
          <cell r="AF1147" t="str">
            <v/>
          </cell>
        </row>
        <row r="1148">
          <cell r="AA1148" t="b">
            <v>0</v>
          </cell>
          <cell r="AB1148" t="b">
            <v>0</v>
          </cell>
          <cell r="AC1148" t="b">
            <v>0</v>
          </cell>
          <cell r="AD1148" t="b">
            <v>0</v>
          </cell>
          <cell r="AE1148" t="b">
            <v>0</v>
          </cell>
          <cell r="AF1148" t="str">
            <v/>
          </cell>
        </row>
        <row r="1149">
          <cell r="AA1149" t="b">
            <v>0</v>
          </cell>
          <cell r="AB1149" t="b">
            <v>0</v>
          </cell>
          <cell r="AC1149" t="b">
            <v>0</v>
          </cell>
          <cell r="AD1149" t="b">
            <v>0</v>
          </cell>
          <cell r="AE1149" t="b">
            <v>0</v>
          </cell>
          <cell r="AF1149" t="str">
            <v/>
          </cell>
        </row>
        <row r="1150">
          <cell r="AA1150" t="b">
            <v>0</v>
          </cell>
          <cell r="AB1150" t="b">
            <v>0</v>
          </cell>
          <cell r="AC1150" t="b">
            <v>0</v>
          </cell>
          <cell r="AD1150" t="b">
            <v>0</v>
          </cell>
          <cell r="AE1150" t="b">
            <v>0</v>
          </cell>
          <cell r="AF1150" t="str">
            <v/>
          </cell>
        </row>
        <row r="1151">
          <cell r="AA1151" t="b">
            <v>0</v>
          </cell>
          <cell r="AB1151" t="b">
            <v>0</v>
          </cell>
          <cell r="AC1151" t="b">
            <v>0</v>
          </cell>
          <cell r="AD1151" t="b">
            <v>0</v>
          </cell>
          <cell r="AE1151" t="b">
            <v>0</v>
          </cell>
          <cell r="AF1151" t="str">
            <v/>
          </cell>
        </row>
        <row r="1152">
          <cell r="AA1152" t="b">
            <v>0</v>
          </cell>
          <cell r="AB1152" t="b">
            <v>0</v>
          </cell>
          <cell r="AC1152" t="b">
            <v>0</v>
          </cell>
          <cell r="AD1152" t="b">
            <v>0</v>
          </cell>
          <cell r="AE1152" t="b">
            <v>0</v>
          </cell>
          <cell r="AF1152" t="str">
            <v/>
          </cell>
        </row>
        <row r="1153">
          <cell r="AA1153" t="b">
            <v>0</v>
          </cell>
          <cell r="AB1153" t="b">
            <v>0</v>
          </cell>
          <cell r="AC1153" t="b">
            <v>0</v>
          </cell>
          <cell r="AD1153" t="b">
            <v>0</v>
          </cell>
          <cell r="AE1153" t="b">
            <v>0</v>
          </cell>
          <cell r="AF1153" t="str">
            <v/>
          </cell>
        </row>
        <row r="1154">
          <cell r="AA1154" t="b">
            <v>0</v>
          </cell>
          <cell r="AB1154" t="b">
            <v>0</v>
          </cell>
          <cell r="AC1154" t="b">
            <v>0</v>
          </cell>
          <cell r="AD1154" t="b">
            <v>0</v>
          </cell>
          <cell r="AE1154" t="b">
            <v>0</v>
          </cell>
          <cell r="AF1154" t="str">
            <v/>
          </cell>
        </row>
        <row r="1155">
          <cell r="AA1155" t="b">
            <v>0</v>
          </cell>
          <cell r="AB1155" t="b">
            <v>0</v>
          </cell>
          <cell r="AC1155" t="b">
            <v>0</v>
          </cell>
          <cell r="AD1155" t="b">
            <v>0</v>
          </cell>
          <cell r="AE1155" t="b">
            <v>0</v>
          </cell>
          <cell r="AF1155" t="str">
            <v/>
          </cell>
        </row>
        <row r="1156">
          <cell r="AA1156" t="b">
            <v>0</v>
          </cell>
          <cell r="AB1156" t="b">
            <v>0</v>
          </cell>
          <cell r="AC1156" t="b">
            <v>0</v>
          </cell>
          <cell r="AD1156" t="b">
            <v>0</v>
          </cell>
          <cell r="AE1156" t="b">
            <v>0</v>
          </cell>
          <cell r="AF1156" t="str">
            <v/>
          </cell>
        </row>
        <row r="1157">
          <cell r="AA1157" t="b">
            <v>0</v>
          </cell>
          <cell r="AB1157" t="b">
            <v>0</v>
          </cell>
          <cell r="AC1157" t="b">
            <v>0</v>
          </cell>
          <cell r="AD1157" t="b">
            <v>0</v>
          </cell>
          <cell r="AE1157" t="b">
            <v>0</v>
          </cell>
          <cell r="AF1157" t="str">
            <v/>
          </cell>
        </row>
        <row r="1158">
          <cell r="AA1158" t="b">
            <v>0</v>
          </cell>
          <cell r="AB1158" t="b">
            <v>0</v>
          </cell>
          <cell r="AC1158" t="b">
            <v>0</v>
          </cell>
          <cell r="AD1158" t="b">
            <v>0</v>
          </cell>
          <cell r="AE1158" t="b">
            <v>0</v>
          </cell>
          <cell r="AF1158" t="str">
            <v/>
          </cell>
        </row>
        <row r="1159">
          <cell r="AA1159" t="b">
            <v>0</v>
          </cell>
          <cell r="AB1159" t="b">
            <v>0</v>
          </cell>
          <cell r="AC1159" t="b">
            <v>0</v>
          </cell>
          <cell r="AD1159" t="b">
            <v>0</v>
          </cell>
          <cell r="AE1159" t="b">
            <v>0</v>
          </cell>
          <cell r="AF1159" t="str">
            <v/>
          </cell>
        </row>
        <row r="1160">
          <cell r="AA1160" t="b">
            <v>0</v>
          </cell>
          <cell r="AB1160" t="b">
            <v>0</v>
          </cell>
          <cell r="AC1160" t="b">
            <v>0</v>
          </cell>
          <cell r="AD1160" t="b">
            <v>0</v>
          </cell>
          <cell r="AE1160" t="b">
            <v>0</v>
          </cell>
          <cell r="AF1160" t="str">
            <v/>
          </cell>
        </row>
        <row r="1161">
          <cell r="AA1161" t="b">
            <v>0</v>
          </cell>
          <cell r="AB1161" t="b">
            <v>0</v>
          </cell>
          <cell r="AC1161" t="b">
            <v>0</v>
          </cell>
          <cell r="AD1161" t="b">
            <v>0</v>
          </cell>
          <cell r="AE1161" t="b">
            <v>0</v>
          </cell>
          <cell r="AF1161" t="str">
            <v/>
          </cell>
        </row>
        <row r="1162">
          <cell r="AA1162" t="b">
            <v>0</v>
          </cell>
          <cell r="AB1162" t="b">
            <v>0</v>
          </cell>
          <cell r="AC1162" t="b">
            <v>0</v>
          </cell>
          <cell r="AD1162" t="b">
            <v>0</v>
          </cell>
          <cell r="AE1162" t="b">
            <v>0</v>
          </cell>
          <cell r="AF1162" t="str">
            <v/>
          </cell>
        </row>
        <row r="1163">
          <cell r="AA1163" t="b">
            <v>0</v>
          </cell>
          <cell r="AB1163" t="b">
            <v>0</v>
          </cell>
          <cell r="AC1163" t="b">
            <v>0</v>
          </cell>
          <cell r="AD1163" t="b">
            <v>0</v>
          </cell>
          <cell r="AE1163" t="b">
            <v>0</v>
          </cell>
          <cell r="AF1163" t="str">
            <v/>
          </cell>
        </row>
        <row r="1164">
          <cell r="AA1164" t="b">
            <v>0</v>
          </cell>
          <cell r="AB1164" t="b">
            <v>0</v>
          </cell>
          <cell r="AC1164" t="b">
            <v>0</v>
          </cell>
          <cell r="AD1164" t="b">
            <v>0</v>
          </cell>
          <cell r="AE1164" t="b">
            <v>0</v>
          </cell>
          <cell r="AF1164" t="str">
            <v/>
          </cell>
        </row>
        <row r="1165">
          <cell r="AA1165" t="b">
            <v>0</v>
          </cell>
          <cell r="AB1165" t="b">
            <v>0</v>
          </cell>
          <cell r="AC1165" t="b">
            <v>0</v>
          </cell>
          <cell r="AD1165" t="b">
            <v>0</v>
          </cell>
          <cell r="AE1165" t="b">
            <v>0</v>
          </cell>
          <cell r="AF1165" t="str">
            <v/>
          </cell>
        </row>
        <row r="1166">
          <cell r="AA1166" t="b">
            <v>0</v>
          </cell>
          <cell r="AB1166" t="b">
            <v>0</v>
          </cell>
          <cell r="AC1166" t="b">
            <v>0</v>
          </cell>
          <cell r="AD1166" t="b">
            <v>0</v>
          </cell>
          <cell r="AE1166" t="b">
            <v>0</v>
          </cell>
          <cell r="AF1166" t="str">
            <v/>
          </cell>
        </row>
        <row r="1167">
          <cell r="AA1167" t="b">
            <v>0</v>
          </cell>
          <cell r="AB1167" t="b">
            <v>0</v>
          </cell>
          <cell r="AC1167" t="b">
            <v>0</v>
          </cell>
          <cell r="AD1167" t="b">
            <v>0</v>
          </cell>
          <cell r="AE1167" t="b">
            <v>0</v>
          </cell>
          <cell r="AF1167" t="str">
            <v/>
          </cell>
        </row>
        <row r="1168">
          <cell r="AA1168" t="b">
            <v>0</v>
          </cell>
          <cell r="AB1168" t="b">
            <v>0</v>
          </cell>
          <cell r="AC1168" t="b">
            <v>0</v>
          </cell>
          <cell r="AD1168" t="b">
            <v>0</v>
          </cell>
          <cell r="AE1168" t="b">
            <v>0</v>
          </cell>
          <cell r="AF1168" t="str">
            <v/>
          </cell>
        </row>
        <row r="1169">
          <cell r="AA1169" t="b">
            <v>0</v>
          </cell>
          <cell r="AB1169" t="b">
            <v>0</v>
          </cell>
          <cell r="AC1169" t="b">
            <v>0</v>
          </cell>
          <cell r="AD1169" t="b">
            <v>0</v>
          </cell>
          <cell r="AE1169" t="b">
            <v>0</v>
          </cell>
          <cell r="AF1169" t="str">
            <v/>
          </cell>
        </row>
        <row r="1170">
          <cell r="AA1170" t="b">
            <v>0</v>
          </cell>
          <cell r="AB1170" t="b">
            <v>0</v>
          </cell>
          <cell r="AC1170" t="b">
            <v>0</v>
          </cell>
          <cell r="AD1170" t="b">
            <v>0</v>
          </cell>
          <cell r="AE1170" t="b">
            <v>0</v>
          </cell>
          <cell r="AF1170" t="str">
            <v/>
          </cell>
        </row>
        <row r="1171">
          <cell r="AA1171" t="b">
            <v>0</v>
          </cell>
          <cell r="AB1171" t="b">
            <v>0</v>
          </cell>
          <cell r="AC1171" t="b">
            <v>0</v>
          </cell>
          <cell r="AD1171" t="b">
            <v>0</v>
          </cell>
          <cell r="AE1171" t="b">
            <v>0</v>
          </cell>
          <cell r="AF1171" t="str">
            <v/>
          </cell>
        </row>
        <row r="1172">
          <cell r="AA1172" t="b">
            <v>0</v>
          </cell>
          <cell r="AB1172" t="b">
            <v>0</v>
          </cell>
          <cell r="AC1172" t="b">
            <v>0</v>
          </cell>
          <cell r="AD1172" t="b">
            <v>0</v>
          </cell>
          <cell r="AE1172" t="b">
            <v>0</v>
          </cell>
          <cell r="AF1172" t="str">
            <v/>
          </cell>
        </row>
        <row r="1173">
          <cell r="AA1173" t="b">
            <v>0</v>
          </cell>
          <cell r="AB1173" t="b">
            <v>0</v>
          </cell>
          <cell r="AC1173" t="b">
            <v>0</v>
          </cell>
          <cell r="AD1173" t="b">
            <v>0</v>
          </cell>
          <cell r="AE1173" t="b">
            <v>0</v>
          </cell>
          <cell r="AF1173" t="str">
            <v/>
          </cell>
        </row>
        <row r="1174">
          <cell r="AA1174" t="b">
            <v>0</v>
          </cell>
          <cell r="AB1174" t="b">
            <v>0</v>
          </cell>
          <cell r="AC1174" t="b">
            <v>0</v>
          </cell>
          <cell r="AD1174" t="b">
            <v>0</v>
          </cell>
          <cell r="AE1174" t="b">
            <v>0</v>
          </cell>
          <cell r="AF1174" t="str">
            <v/>
          </cell>
        </row>
        <row r="1175">
          <cell r="AA1175" t="b">
            <v>0</v>
          </cell>
          <cell r="AB1175" t="b">
            <v>0</v>
          </cell>
          <cell r="AC1175" t="b">
            <v>0</v>
          </cell>
          <cell r="AD1175" t="b">
            <v>0</v>
          </cell>
          <cell r="AE1175" t="b">
            <v>0</v>
          </cell>
          <cell r="AF1175" t="str">
            <v/>
          </cell>
        </row>
        <row r="1176">
          <cell r="AA1176" t="b">
            <v>0</v>
          </cell>
          <cell r="AB1176" t="b">
            <v>0</v>
          </cell>
          <cell r="AC1176" t="b">
            <v>0</v>
          </cell>
          <cell r="AD1176" t="b">
            <v>0</v>
          </cell>
          <cell r="AE1176" t="b">
            <v>0</v>
          </cell>
          <cell r="AF1176" t="str">
            <v/>
          </cell>
        </row>
        <row r="1177">
          <cell r="AA1177" t="b">
            <v>0</v>
          </cell>
          <cell r="AB1177" t="b">
            <v>0</v>
          </cell>
          <cell r="AC1177" t="b">
            <v>0</v>
          </cell>
          <cell r="AD1177" t="b">
            <v>0</v>
          </cell>
          <cell r="AE1177" t="b">
            <v>0</v>
          </cell>
          <cell r="AF1177" t="str">
            <v/>
          </cell>
        </row>
        <row r="1178">
          <cell r="AA1178" t="b">
            <v>0</v>
          </cell>
          <cell r="AB1178" t="b">
            <v>0</v>
          </cell>
          <cell r="AC1178" t="b">
            <v>0</v>
          </cell>
          <cell r="AD1178" t="b">
            <v>0</v>
          </cell>
          <cell r="AE1178" t="b">
            <v>0</v>
          </cell>
          <cell r="AF1178" t="str">
            <v/>
          </cell>
        </row>
        <row r="1179">
          <cell r="AA1179" t="b">
            <v>0</v>
          </cell>
          <cell r="AB1179" t="b">
            <v>0</v>
          </cell>
          <cell r="AC1179" t="b">
            <v>0</v>
          </cell>
          <cell r="AD1179" t="b">
            <v>0</v>
          </cell>
          <cell r="AE1179" t="b">
            <v>0</v>
          </cell>
          <cell r="AF1179" t="str">
            <v/>
          </cell>
        </row>
        <row r="1180">
          <cell r="AA1180" t="b">
            <v>0</v>
          </cell>
          <cell r="AB1180" t="b">
            <v>0</v>
          </cell>
          <cell r="AC1180" t="b">
            <v>0</v>
          </cell>
          <cell r="AD1180" t="b">
            <v>0</v>
          </cell>
          <cell r="AE1180" t="b">
            <v>0</v>
          </cell>
          <cell r="AF1180" t="str">
            <v/>
          </cell>
        </row>
        <row r="1181">
          <cell r="AA1181" t="b">
            <v>0</v>
          </cell>
          <cell r="AB1181" t="b">
            <v>0</v>
          </cell>
          <cell r="AC1181" t="b">
            <v>0</v>
          </cell>
          <cell r="AD1181" t="b">
            <v>0</v>
          </cell>
          <cell r="AE1181" t="b">
            <v>0</v>
          </cell>
          <cell r="AF1181" t="str">
            <v/>
          </cell>
        </row>
        <row r="1182">
          <cell r="AA1182" t="b">
            <v>0</v>
          </cell>
          <cell r="AB1182" t="b">
            <v>0</v>
          </cell>
          <cell r="AC1182" t="b">
            <v>0</v>
          </cell>
          <cell r="AD1182" t="b">
            <v>0</v>
          </cell>
          <cell r="AE1182" t="b">
            <v>0</v>
          </cell>
          <cell r="AF1182" t="str">
            <v/>
          </cell>
        </row>
        <row r="1183">
          <cell r="AA1183" t="b">
            <v>0</v>
          </cell>
          <cell r="AB1183" t="b">
            <v>0</v>
          </cell>
          <cell r="AC1183" t="b">
            <v>0</v>
          </cell>
          <cell r="AD1183" t="b">
            <v>0</v>
          </cell>
          <cell r="AE1183" t="b">
            <v>0</v>
          </cell>
          <cell r="AF1183" t="str">
            <v/>
          </cell>
        </row>
        <row r="1184">
          <cell r="AA1184" t="b">
            <v>0</v>
          </cell>
          <cell r="AB1184" t="b">
            <v>0</v>
          </cell>
          <cell r="AC1184" t="b">
            <v>0</v>
          </cell>
          <cell r="AD1184" t="b">
            <v>0</v>
          </cell>
          <cell r="AE1184" t="b">
            <v>0</v>
          </cell>
          <cell r="AF1184" t="str">
            <v/>
          </cell>
        </row>
        <row r="1185">
          <cell r="AA1185" t="b">
            <v>0</v>
          </cell>
          <cell r="AB1185" t="b">
            <v>0</v>
          </cell>
          <cell r="AC1185" t="b">
            <v>0</v>
          </cell>
          <cell r="AD1185" t="b">
            <v>0</v>
          </cell>
          <cell r="AE1185" t="b">
            <v>0</v>
          </cell>
          <cell r="AF1185" t="str">
            <v/>
          </cell>
        </row>
        <row r="1186">
          <cell r="AA1186" t="b">
            <v>0</v>
          </cell>
          <cell r="AB1186" t="b">
            <v>0</v>
          </cell>
          <cell r="AC1186" t="b">
            <v>0</v>
          </cell>
          <cell r="AD1186" t="b">
            <v>0</v>
          </cell>
          <cell r="AE1186" t="b">
            <v>0</v>
          </cell>
          <cell r="AF1186" t="str">
            <v/>
          </cell>
        </row>
        <row r="1187">
          <cell r="AA1187" t="b">
            <v>0</v>
          </cell>
          <cell r="AB1187" t="b">
            <v>0</v>
          </cell>
          <cell r="AC1187" t="b">
            <v>0</v>
          </cell>
          <cell r="AD1187" t="b">
            <v>0</v>
          </cell>
          <cell r="AE1187" t="b">
            <v>0</v>
          </cell>
          <cell r="AF1187" t="str">
            <v/>
          </cell>
        </row>
        <row r="1188">
          <cell r="AA1188" t="b">
            <v>0</v>
          </cell>
          <cell r="AB1188" t="b">
            <v>0</v>
          </cell>
          <cell r="AC1188" t="b">
            <v>0</v>
          </cell>
          <cell r="AD1188" t="b">
            <v>0</v>
          </cell>
          <cell r="AE1188" t="b">
            <v>0</v>
          </cell>
          <cell r="AF1188" t="str">
            <v/>
          </cell>
        </row>
        <row r="1189">
          <cell r="AA1189" t="b">
            <v>0</v>
          </cell>
          <cell r="AB1189" t="b">
            <v>0</v>
          </cell>
          <cell r="AC1189" t="b">
            <v>0</v>
          </cell>
          <cell r="AD1189" t="b">
            <v>0</v>
          </cell>
          <cell r="AE1189" t="b">
            <v>0</v>
          </cell>
          <cell r="AF1189" t="str">
            <v/>
          </cell>
        </row>
        <row r="1190">
          <cell r="AA1190" t="b">
            <v>0</v>
          </cell>
          <cell r="AB1190" t="b">
            <v>0</v>
          </cell>
          <cell r="AC1190" t="b">
            <v>0</v>
          </cell>
          <cell r="AD1190" t="b">
            <v>0</v>
          </cell>
          <cell r="AE1190" t="b">
            <v>0</v>
          </cell>
          <cell r="AF1190" t="str">
            <v/>
          </cell>
        </row>
        <row r="1191">
          <cell r="AA1191" t="b">
            <v>0</v>
          </cell>
          <cell r="AB1191" t="b">
            <v>0</v>
          </cell>
          <cell r="AC1191" t="b">
            <v>0</v>
          </cell>
          <cell r="AD1191" t="b">
            <v>0</v>
          </cell>
          <cell r="AE1191" t="b">
            <v>0</v>
          </cell>
          <cell r="AF1191" t="str">
            <v/>
          </cell>
        </row>
        <row r="1192">
          <cell r="AA1192" t="b">
            <v>0</v>
          </cell>
          <cell r="AB1192" t="b">
            <v>0</v>
          </cell>
          <cell r="AC1192" t="b">
            <v>0</v>
          </cell>
          <cell r="AD1192" t="b">
            <v>0</v>
          </cell>
          <cell r="AE1192" t="b">
            <v>0</v>
          </cell>
          <cell r="AF1192" t="str">
            <v/>
          </cell>
        </row>
        <row r="1193">
          <cell r="AA1193" t="b">
            <v>0</v>
          </cell>
          <cell r="AB1193" t="b">
            <v>0</v>
          </cell>
          <cell r="AC1193" t="b">
            <v>0</v>
          </cell>
          <cell r="AD1193" t="b">
            <v>0</v>
          </cell>
          <cell r="AE1193" t="b">
            <v>0</v>
          </cell>
          <cell r="AF1193" t="str">
            <v/>
          </cell>
        </row>
        <row r="1194">
          <cell r="AA1194" t="b">
            <v>0</v>
          </cell>
          <cell r="AB1194" t="b">
            <v>0</v>
          </cell>
          <cell r="AC1194" t="b">
            <v>0</v>
          </cell>
          <cell r="AD1194" t="b">
            <v>0</v>
          </cell>
          <cell r="AE1194" t="b">
            <v>0</v>
          </cell>
          <cell r="AF1194" t="str">
            <v/>
          </cell>
        </row>
        <row r="1195">
          <cell r="AA1195" t="b">
            <v>0</v>
          </cell>
          <cell r="AB1195" t="b">
            <v>0</v>
          </cell>
          <cell r="AC1195" t="b">
            <v>0</v>
          </cell>
          <cell r="AD1195" t="b">
            <v>0</v>
          </cell>
          <cell r="AE1195" t="b">
            <v>0</v>
          </cell>
          <cell r="AF1195" t="str">
            <v/>
          </cell>
        </row>
        <row r="1196">
          <cell r="AA1196" t="b">
            <v>0</v>
          </cell>
          <cell r="AB1196" t="b">
            <v>0</v>
          </cell>
          <cell r="AC1196" t="b">
            <v>0</v>
          </cell>
          <cell r="AD1196" t="b">
            <v>0</v>
          </cell>
          <cell r="AE1196" t="b">
            <v>0</v>
          </cell>
          <cell r="AF1196" t="str">
            <v/>
          </cell>
        </row>
        <row r="1197">
          <cell r="AA1197" t="b">
            <v>0</v>
          </cell>
          <cell r="AB1197" t="b">
            <v>0</v>
          </cell>
          <cell r="AC1197" t="b">
            <v>0</v>
          </cell>
          <cell r="AD1197" t="b">
            <v>0</v>
          </cell>
          <cell r="AE1197" t="b">
            <v>0</v>
          </cell>
          <cell r="AF1197" t="str">
            <v/>
          </cell>
        </row>
        <row r="1198">
          <cell r="AA1198" t="b">
            <v>0</v>
          </cell>
          <cell r="AB1198" t="b">
            <v>0</v>
          </cell>
          <cell r="AC1198" t="b">
            <v>0</v>
          </cell>
          <cell r="AD1198" t="b">
            <v>0</v>
          </cell>
          <cell r="AE1198" t="b">
            <v>0</v>
          </cell>
          <cell r="AF1198" t="str">
            <v/>
          </cell>
        </row>
        <row r="1199">
          <cell r="AA1199" t="b">
            <v>0</v>
          </cell>
          <cell r="AB1199" t="b">
            <v>0</v>
          </cell>
          <cell r="AC1199" t="b">
            <v>0</v>
          </cell>
          <cell r="AD1199" t="b">
            <v>0</v>
          </cell>
          <cell r="AE1199" t="b">
            <v>0</v>
          </cell>
          <cell r="AF1199" t="str">
            <v/>
          </cell>
        </row>
        <row r="1200">
          <cell r="AA1200" t="b">
            <v>0</v>
          </cell>
          <cell r="AB1200" t="b">
            <v>0</v>
          </cell>
          <cell r="AC1200" t="b">
            <v>0</v>
          </cell>
          <cell r="AD1200" t="b">
            <v>0</v>
          </cell>
          <cell r="AE1200" t="b">
            <v>0</v>
          </cell>
          <cell r="AF1200" t="str">
            <v/>
          </cell>
        </row>
        <row r="1201">
          <cell r="AA1201" t="b">
            <v>0</v>
          </cell>
          <cell r="AB1201" t="b">
            <v>0</v>
          </cell>
          <cell r="AC1201" t="b">
            <v>0</v>
          </cell>
          <cell r="AD1201" t="b">
            <v>0</v>
          </cell>
          <cell r="AE1201" t="b">
            <v>0</v>
          </cell>
          <cell r="AF1201" t="str">
            <v/>
          </cell>
        </row>
        <row r="1202">
          <cell r="AA1202" t="b">
            <v>0</v>
          </cell>
          <cell r="AB1202" t="b">
            <v>0</v>
          </cell>
          <cell r="AC1202" t="b">
            <v>0</v>
          </cell>
          <cell r="AD1202" t="b">
            <v>0</v>
          </cell>
          <cell r="AE1202" t="b">
            <v>0</v>
          </cell>
          <cell r="AF1202" t="str">
            <v/>
          </cell>
        </row>
        <row r="1203">
          <cell r="AA1203" t="b">
            <v>0</v>
          </cell>
          <cell r="AB1203" t="b">
            <v>0</v>
          </cell>
          <cell r="AC1203" t="b">
            <v>0</v>
          </cell>
          <cell r="AD1203" t="b">
            <v>0</v>
          </cell>
          <cell r="AE1203" t="b">
            <v>0</v>
          </cell>
          <cell r="AF1203" t="str">
            <v/>
          </cell>
        </row>
        <row r="1204">
          <cell r="AA1204" t="b">
            <v>0</v>
          </cell>
          <cell r="AB1204" t="b">
            <v>0</v>
          </cell>
          <cell r="AC1204" t="b">
            <v>0</v>
          </cell>
          <cell r="AD1204" t="b">
            <v>0</v>
          </cell>
          <cell r="AE1204" t="b">
            <v>0</v>
          </cell>
          <cell r="AF1204" t="str">
            <v/>
          </cell>
        </row>
        <row r="1205">
          <cell r="AA1205" t="b">
            <v>0</v>
          </cell>
          <cell r="AB1205" t="b">
            <v>0</v>
          </cell>
          <cell r="AC1205" t="b">
            <v>0</v>
          </cell>
          <cell r="AD1205" t="b">
            <v>0</v>
          </cell>
          <cell r="AE1205" t="b">
            <v>0</v>
          </cell>
          <cell r="AF1205" t="str">
            <v/>
          </cell>
        </row>
        <row r="1206">
          <cell r="AA1206" t="b">
            <v>0</v>
          </cell>
          <cell r="AB1206" t="b">
            <v>0</v>
          </cell>
          <cell r="AC1206" t="b">
            <v>0</v>
          </cell>
          <cell r="AD1206" t="b">
            <v>0</v>
          </cell>
          <cell r="AE1206" t="b">
            <v>0</v>
          </cell>
          <cell r="AF1206" t="str">
            <v/>
          </cell>
        </row>
        <row r="1207">
          <cell r="AA1207" t="b">
            <v>0</v>
          </cell>
          <cell r="AB1207" t="b">
            <v>0</v>
          </cell>
          <cell r="AC1207" t="b">
            <v>0</v>
          </cell>
          <cell r="AD1207" t="b">
            <v>0</v>
          </cell>
          <cell r="AE1207" t="b">
            <v>0</v>
          </cell>
          <cell r="AF1207" t="str">
            <v/>
          </cell>
        </row>
        <row r="1208">
          <cell r="AA1208" t="b">
            <v>0</v>
          </cell>
          <cell r="AB1208" t="b">
            <v>0</v>
          </cell>
          <cell r="AC1208" t="b">
            <v>0</v>
          </cell>
          <cell r="AD1208" t="b">
            <v>0</v>
          </cell>
          <cell r="AE1208" t="b">
            <v>0</v>
          </cell>
          <cell r="AF1208" t="str">
            <v/>
          </cell>
        </row>
        <row r="1209">
          <cell r="AA1209" t="b">
            <v>0</v>
          </cell>
          <cell r="AB1209" t="b">
            <v>0</v>
          </cell>
          <cell r="AC1209" t="b">
            <v>0</v>
          </cell>
          <cell r="AD1209" t="b">
            <v>0</v>
          </cell>
          <cell r="AE1209" t="b">
            <v>0</v>
          </cell>
          <cell r="AF1209" t="str">
            <v/>
          </cell>
        </row>
        <row r="1210">
          <cell r="AA1210" t="b">
            <v>0</v>
          </cell>
          <cell r="AB1210" t="b">
            <v>0</v>
          </cell>
          <cell r="AC1210" t="b">
            <v>0</v>
          </cell>
          <cell r="AD1210" t="b">
            <v>0</v>
          </cell>
          <cell r="AE1210" t="b">
            <v>0</v>
          </cell>
          <cell r="AF1210" t="str">
            <v/>
          </cell>
        </row>
        <row r="1211">
          <cell r="AA1211" t="b">
            <v>0</v>
          </cell>
          <cell r="AB1211" t="b">
            <v>0</v>
          </cell>
          <cell r="AC1211" t="b">
            <v>0</v>
          </cell>
          <cell r="AD1211" t="b">
            <v>0</v>
          </cell>
          <cell r="AE1211" t="b">
            <v>0</v>
          </cell>
          <cell r="AF1211" t="str">
            <v/>
          </cell>
        </row>
        <row r="1212">
          <cell r="AA1212" t="b">
            <v>0</v>
          </cell>
          <cell r="AB1212" t="b">
            <v>0</v>
          </cell>
          <cell r="AC1212" t="b">
            <v>0</v>
          </cell>
          <cell r="AD1212" t="b">
            <v>0</v>
          </cell>
          <cell r="AE1212" t="b">
            <v>0</v>
          </cell>
          <cell r="AF1212" t="str">
            <v/>
          </cell>
        </row>
        <row r="1213">
          <cell r="AA1213" t="b">
            <v>0</v>
          </cell>
          <cell r="AB1213" t="b">
            <v>0</v>
          </cell>
          <cell r="AC1213" t="b">
            <v>0</v>
          </cell>
          <cell r="AD1213" t="b">
            <v>0</v>
          </cell>
          <cell r="AE1213" t="b">
            <v>0</v>
          </cell>
          <cell r="AF1213" t="str">
            <v/>
          </cell>
        </row>
        <row r="1214">
          <cell r="AA1214" t="b">
            <v>0</v>
          </cell>
          <cell r="AB1214" t="b">
            <v>0</v>
          </cell>
          <cell r="AC1214" t="b">
            <v>0</v>
          </cell>
          <cell r="AD1214" t="b">
            <v>0</v>
          </cell>
          <cell r="AE1214" t="b">
            <v>0</v>
          </cell>
          <cell r="AF1214" t="str">
            <v/>
          </cell>
        </row>
        <row r="1215">
          <cell r="AA1215" t="b">
            <v>0</v>
          </cell>
          <cell r="AB1215" t="b">
            <v>0</v>
          </cell>
          <cell r="AC1215" t="b">
            <v>0</v>
          </cell>
          <cell r="AD1215" t="b">
            <v>0</v>
          </cell>
          <cell r="AE1215" t="b">
            <v>0</v>
          </cell>
          <cell r="AF1215" t="str">
            <v/>
          </cell>
        </row>
        <row r="1216">
          <cell r="AA1216" t="b">
            <v>0</v>
          </cell>
          <cell r="AB1216" t="b">
            <v>0</v>
          </cell>
          <cell r="AC1216" t="b">
            <v>0</v>
          </cell>
          <cell r="AD1216" t="b">
            <v>0</v>
          </cell>
          <cell r="AE1216" t="b">
            <v>0</v>
          </cell>
          <cell r="AF1216" t="str">
            <v/>
          </cell>
        </row>
        <row r="1217">
          <cell r="AA1217" t="b">
            <v>0</v>
          </cell>
          <cell r="AB1217" t="b">
            <v>0</v>
          </cell>
          <cell r="AC1217" t="b">
            <v>0</v>
          </cell>
          <cell r="AD1217" t="b">
            <v>0</v>
          </cell>
          <cell r="AE1217" t="b">
            <v>0</v>
          </cell>
          <cell r="AF1217" t="str">
            <v/>
          </cell>
        </row>
        <row r="1218">
          <cell r="AA1218" t="b">
            <v>0</v>
          </cell>
          <cell r="AB1218" t="b">
            <v>0</v>
          </cell>
          <cell r="AC1218" t="b">
            <v>0</v>
          </cell>
          <cell r="AD1218" t="b">
            <v>0</v>
          </cell>
          <cell r="AE1218" t="b">
            <v>0</v>
          </cell>
          <cell r="AF1218" t="str">
            <v/>
          </cell>
        </row>
        <row r="1219">
          <cell r="AA1219" t="b">
            <v>0</v>
          </cell>
          <cell r="AB1219" t="b">
            <v>0</v>
          </cell>
          <cell r="AC1219" t="b">
            <v>0</v>
          </cell>
          <cell r="AD1219" t="b">
            <v>0</v>
          </cell>
          <cell r="AE1219" t="b">
            <v>0</v>
          </cell>
          <cell r="AF1219" t="str">
            <v/>
          </cell>
        </row>
        <row r="1220">
          <cell r="AA1220" t="b">
            <v>0</v>
          </cell>
          <cell r="AB1220" t="b">
            <v>0</v>
          </cell>
          <cell r="AC1220" t="b">
            <v>0</v>
          </cell>
          <cell r="AD1220" t="b">
            <v>0</v>
          </cell>
          <cell r="AE1220" t="b">
            <v>0</v>
          </cell>
          <cell r="AF1220" t="str">
            <v/>
          </cell>
        </row>
        <row r="1221">
          <cell r="AA1221" t="b">
            <v>0</v>
          </cell>
          <cell r="AB1221" t="b">
            <v>0</v>
          </cell>
          <cell r="AC1221" t="b">
            <v>0</v>
          </cell>
          <cell r="AD1221" t="b">
            <v>0</v>
          </cell>
          <cell r="AE1221" t="b">
            <v>0</v>
          </cell>
          <cell r="AF1221" t="str">
            <v/>
          </cell>
        </row>
        <row r="1222">
          <cell r="AA1222" t="b">
            <v>0</v>
          </cell>
          <cell r="AB1222" t="b">
            <v>0</v>
          </cell>
          <cell r="AC1222" t="b">
            <v>0</v>
          </cell>
          <cell r="AD1222" t="b">
            <v>0</v>
          </cell>
          <cell r="AE1222" t="b">
            <v>0</v>
          </cell>
          <cell r="AF1222" t="str">
            <v/>
          </cell>
        </row>
        <row r="1223">
          <cell r="AA1223" t="b">
            <v>0</v>
          </cell>
          <cell r="AB1223" t="b">
            <v>0</v>
          </cell>
          <cell r="AC1223" t="b">
            <v>0</v>
          </cell>
          <cell r="AD1223" t="b">
            <v>0</v>
          </cell>
          <cell r="AE1223" t="b">
            <v>0</v>
          </cell>
          <cell r="AF1223" t="str">
            <v/>
          </cell>
        </row>
        <row r="1224">
          <cell r="AA1224" t="b">
            <v>0</v>
          </cell>
          <cell r="AB1224" t="b">
            <v>0</v>
          </cell>
          <cell r="AC1224" t="b">
            <v>0</v>
          </cell>
          <cell r="AD1224" t="b">
            <v>0</v>
          </cell>
          <cell r="AE1224" t="b">
            <v>0</v>
          </cell>
          <cell r="AF1224" t="str">
            <v/>
          </cell>
        </row>
        <row r="1225">
          <cell r="AA1225" t="b">
            <v>0</v>
          </cell>
          <cell r="AB1225" t="b">
            <v>0</v>
          </cell>
          <cell r="AC1225" t="b">
            <v>0</v>
          </cell>
          <cell r="AD1225" t="b">
            <v>0</v>
          </cell>
          <cell r="AE1225" t="b">
            <v>0</v>
          </cell>
          <cell r="AF1225" t="str">
            <v/>
          </cell>
        </row>
        <row r="1226">
          <cell r="AA1226" t="b">
            <v>0</v>
          </cell>
          <cell r="AB1226" t="b">
            <v>0</v>
          </cell>
          <cell r="AC1226" t="b">
            <v>0</v>
          </cell>
          <cell r="AD1226" t="b">
            <v>0</v>
          </cell>
          <cell r="AE1226" t="b">
            <v>0</v>
          </cell>
          <cell r="AF1226" t="str">
            <v/>
          </cell>
        </row>
        <row r="1227">
          <cell r="AA1227" t="b">
            <v>0</v>
          </cell>
          <cell r="AB1227" t="b">
            <v>0</v>
          </cell>
          <cell r="AC1227" t="b">
            <v>0</v>
          </cell>
          <cell r="AD1227" t="b">
            <v>0</v>
          </cell>
          <cell r="AE1227" t="b">
            <v>0</v>
          </cell>
          <cell r="AF1227" t="str">
            <v/>
          </cell>
        </row>
        <row r="1228">
          <cell r="AA1228" t="b">
            <v>0</v>
          </cell>
          <cell r="AB1228" t="b">
            <v>0</v>
          </cell>
          <cell r="AC1228" t="b">
            <v>0</v>
          </cell>
          <cell r="AD1228" t="b">
            <v>0</v>
          </cell>
          <cell r="AE1228" t="b">
            <v>0</v>
          </cell>
          <cell r="AF1228" t="str">
            <v/>
          </cell>
        </row>
        <row r="1229">
          <cell r="AA1229" t="b">
            <v>0</v>
          </cell>
          <cell r="AB1229" t="b">
            <v>0</v>
          </cell>
          <cell r="AC1229" t="b">
            <v>0</v>
          </cell>
          <cell r="AD1229" t="b">
            <v>0</v>
          </cell>
          <cell r="AE1229" t="b">
            <v>0</v>
          </cell>
          <cell r="AF1229" t="str">
            <v/>
          </cell>
        </row>
        <row r="1230">
          <cell r="AA1230" t="b">
            <v>0</v>
          </cell>
          <cell r="AB1230" t="b">
            <v>0</v>
          </cell>
          <cell r="AC1230" t="b">
            <v>0</v>
          </cell>
          <cell r="AD1230" t="b">
            <v>0</v>
          </cell>
          <cell r="AE1230" t="b">
            <v>0</v>
          </cell>
          <cell r="AF1230" t="str">
            <v/>
          </cell>
        </row>
        <row r="1231">
          <cell r="AA1231" t="b">
            <v>0</v>
          </cell>
          <cell r="AB1231" t="b">
            <v>0</v>
          </cell>
          <cell r="AC1231" t="b">
            <v>0</v>
          </cell>
          <cell r="AD1231" t="b">
            <v>0</v>
          </cell>
          <cell r="AE1231" t="b">
            <v>0</v>
          </cell>
          <cell r="AF1231" t="str">
            <v/>
          </cell>
        </row>
      </sheetData>
      <sheetData sheetId="18">
        <row r="1">
          <cell r="B1" t="str">
            <v>US Hair Care</v>
          </cell>
        </row>
        <row r="2">
          <cell r="D2" t="str">
            <v xml:space="preserve">Market </v>
          </cell>
          <cell r="F2" t="str">
            <v>Share Gain/(Loss)</v>
          </cell>
        </row>
        <row r="3">
          <cell r="B3" t="str">
            <v>Rank</v>
          </cell>
          <cell r="C3" t="str">
            <v>Brand</v>
          </cell>
          <cell r="D3" t="str">
            <v>Share</v>
          </cell>
          <cell r="F3" t="str">
            <v>1 Year</v>
          </cell>
          <cell r="G3" t="str">
            <v>3 Year</v>
          </cell>
          <cell r="H3" t="str">
            <v>5 Year</v>
          </cell>
        </row>
        <row r="4">
          <cell r="B4">
            <v>1</v>
          </cell>
          <cell r="C4" t="str">
            <v>Pantene</v>
          </cell>
          <cell r="D4">
            <v>8.900000000000001E-2</v>
          </cell>
          <cell r="F4">
            <v>-69.999999999999929</v>
          </cell>
          <cell r="G4">
            <v>-40.000000000000036</v>
          </cell>
          <cell r="H4">
            <v>20.000000000000156</v>
          </cell>
        </row>
        <row r="5">
          <cell r="B5">
            <v>2</v>
          </cell>
          <cell r="C5" t="str">
            <v>Paul Mitchell</v>
          </cell>
          <cell r="D5">
            <v>4.5999999999999999E-2</v>
          </cell>
          <cell r="F5">
            <v>0</v>
          </cell>
          <cell r="G5">
            <v>19.999999999999947</v>
          </cell>
          <cell r="H5">
            <v>59.999999999999986</v>
          </cell>
        </row>
        <row r="6">
          <cell r="B6">
            <v>3</v>
          </cell>
          <cell r="C6" t="str">
            <v>Matrix</v>
          </cell>
          <cell r="D6">
            <v>4.4000000000000004E-2</v>
          </cell>
          <cell r="F6">
            <v>-9.9999999999999396</v>
          </cell>
          <cell r="G6">
            <v>30.000000000000096</v>
          </cell>
          <cell r="H6">
            <v>69.999999999999986</v>
          </cell>
        </row>
        <row r="7">
          <cell r="B7">
            <v>4</v>
          </cell>
          <cell r="C7" t="str">
            <v>Garnier Fructis</v>
          </cell>
          <cell r="D7">
            <v>0.04</v>
          </cell>
          <cell r="F7">
            <v>20.000000000000018</v>
          </cell>
          <cell r="G7">
            <v>80</v>
          </cell>
          <cell r="H7">
            <v>270</v>
          </cell>
        </row>
        <row r="8">
          <cell r="B8">
            <v>5</v>
          </cell>
          <cell r="C8" t="str">
            <v>Head &amp; Shoulders</v>
          </cell>
          <cell r="D8">
            <v>3.7999999999999999E-2</v>
          </cell>
          <cell r="F8">
            <v>29.999999999999957</v>
          </cell>
          <cell r="G8">
            <v>100.00000000000001</v>
          </cell>
          <cell r="H8">
            <v>90.000000000000014</v>
          </cell>
        </row>
        <row r="9">
          <cell r="B9">
            <v>6</v>
          </cell>
          <cell r="C9" t="str">
            <v>Suave</v>
          </cell>
          <cell r="D9">
            <v>3.7999999999999999E-2</v>
          </cell>
          <cell r="F9">
            <v>-20.000000000000018</v>
          </cell>
          <cell r="G9">
            <v>-29.999999999999957</v>
          </cell>
          <cell r="H9">
            <v>-80</v>
          </cell>
        </row>
        <row r="10">
          <cell r="B10">
            <v>7</v>
          </cell>
          <cell r="C10" t="str">
            <v>Clairol Herbal Essences</v>
          </cell>
          <cell r="D10">
            <v>3.2000000000000001E-2</v>
          </cell>
          <cell r="F10">
            <v>10.000000000000009</v>
          </cell>
          <cell r="G10">
            <v>49.999999999999972</v>
          </cell>
          <cell r="H10">
            <v>0</v>
          </cell>
        </row>
        <row r="11">
          <cell r="B11">
            <v>8</v>
          </cell>
          <cell r="C11" t="str">
            <v>TRESemmé</v>
          </cell>
          <cell r="D11">
            <v>2.7000000000000003E-2</v>
          </cell>
          <cell r="F11">
            <v>30.000000000000028</v>
          </cell>
          <cell r="G11">
            <v>110.00000000000003</v>
          </cell>
          <cell r="H11">
            <v>130.00000000000006</v>
          </cell>
        </row>
        <row r="12">
          <cell r="B12">
            <v>9</v>
          </cell>
          <cell r="C12" t="str">
            <v>Redken</v>
          </cell>
          <cell r="D12">
            <v>2.6000000000000002E-2</v>
          </cell>
          <cell r="F12">
            <v>-10.000000000000009</v>
          </cell>
          <cell r="G12">
            <v>-29.999999999999957</v>
          </cell>
          <cell r="H12">
            <v>0</v>
          </cell>
        </row>
        <row r="13">
          <cell r="B13">
            <v>10</v>
          </cell>
          <cell r="C13" t="str">
            <v>Aveda</v>
          </cell>
          <cell r="D13">
            <v>2.5000000000000001E-2</v>
          </cell>
          <cell r="F13">
            <v>29.999999999999993</v>
          </cell>
          <cell r="G13">
            <v>50.000000000000007</v>
          </cell>
          <cell r="H13">
            <v>80</v>
          </cell>
        </row>
        <row r="14">
          <cell r="B14">
            <v>11</v>
          </cell>
          <cell r="C14" t="str">
            <v>Dove</v>
          </cell>
          <cell r="D14">
            <v>2.1000000000000001E-2</v>
          </cell>
          <cell r="F14">
            <v>0</v>
          </cell>
          <cell r="G14">
            <v>10.000000000000009</v>
          </cell>
          <cell r="H14">
            <v>40</v>
          </cell>
        </row>
        <row r="15">
          <cell r="B15">
            <v>12</v>
          </cell>
          <cell r="C15" t="str">
            <v>Clairol Nice 'n' Easy</v>
          </cell>
          <cell r="D15">
            <v>1.8000000000000002E-2</v>
          </cell>
          <cell r="F15">
            <v>10.000000000000009</v>
          </cell>
          <cell r="G15">
            <v>10.000000000000009</v>
          </cell>
          <cell r="H15">
            <v>10.000000000000009</v>
          </cell>
        </row>
        <row r="16">
          <cell r="B16">
            <v>13</v>
          </cell>
          <cell r="C16" t="str">
            <v>Nexxus</v>
          </cell>
          <cell r="D16">
            <v>1.7000000000000001E-2</v>
          </cell>
          <cell r="F16">
            <v>20.000000000000018</v>
          </cell>
          <cell r="G16">
            <v>120</v>
          </cell>
          <cell r="H16">
            <v>170</v>
          </cell>
        </row>
        <row r="17">
          <cell r="B17">
            <v>14</v>
          </cell>
          <cell r="C17" t="str">
            <v>Préférence/Récital</v>
          </cell>
          <cell r="D17">
            <v>1.6E-2</v>
          </cell>
          <cell r="F17">
            <v>0</v>
          </cell>
          <cell r="G17">
            <v>-20.000000000000018</v>
          </cell>
          <cell r="H17">
            <v>-29.999999999999993</v>
          </cell>
        </row>
        <row r="18">
          <cell r="B18">
            <v>15</v>
          </cell>
          <cell r="C18" t="str">
            <v>John Frieda</v>
          </cell>
          <cell r="D18">
            <v>1.6E-2</v>
          </cell>
          <cell r="F18">
            <v>-10.000000000000009</v>
          </cell>
          <cell r="G18">
            <v>160</v>
          </cell>
          <cell r="H18">
            <v>160</v>
          </cell>
        </row>
        <row r="19">
          <cell r="B19">
            <v>16</v>
          </cell>
          <cell r="C19" t="str">
            <v>L'Oréal Excellence</v>
          </cell>
          <cell r="D19">
            <v>1.4999999999999999E-2</v>
          </cell>
          <cell r="F19">
            <v>0</v>
          </cell>
          <cell r="G19">
            <v>10.000000000000009</v>
          </cell>
          <cell r="H19">
            <v>0</v>
          </cell>
        </row>
        <row r="20">
          <cell r="B20">
            <v>17</v>
          </cell>
          <cell r="C20" t="str">
            <v>Just for Men</v>
          </cell>
          <cell r="D20">
            <v>1.3000000000000001E-2</v>
          </cell>
          <cell r="F20">
            <v>0</v>
          </cell>
          <cell r="G20">
            <v>10.000000000000009</v>
          </cell>
          <cell r="H20">
            <v>20</v>
          </cell>
        </row>
        <row r="21">
          <cell r="B21">
            <v>18</v>
          </cell>
          <cell r="C21" t="str">
            <v>American Crew</v>
          </cell>
          <cell r="D21">
            <v>1.3000000000000001E-2</v>
          </cell>
          <cell r="F21">
            <v>0</v>
          </cell>
          <cell r="G21">
            <v>-9.9999999999999734</v>
          </cell>
          <cell r="H21">
            <v>0</v>
          </cell>
        </row>
        <row r="22">
          <cell r="B22">
            <v>19</v>
          </cell>
          <cell r="C22" t="str">
            <v>Sunsilk</v>
          </cell>
          <cell r="D22">
            <v>1.3000000000000001E-2</v>
          </cell>
          <cell r="F22">
            <v>0</v>
          </cell>
          <cell r="G22">
            <v>130</v>
          </cell>
          <cell r="H22">
            <v>130</v>
          </cell>
        </row>
        <row r="23">
          <cell r="B23">
            <v>20</v>
          </cell>
          <cell r="C23" t="str">
            <v>Elsève/Elvive</v>
          </cell>
          <cell r="D23">
            <v>1.2E-2</v>
          </cell>
          <cell r="F23">
            <v>-19.999999999999982</v>
          </cell>
          <cell r="G23">
            <v>-40</v>
          </cell>
          <cell r="H23">
            <v>-29.999999999999993</v>
          </cell>
        </row>
        <row r="24">
          <cell r="B24">
            <v>21</v>
          </cell>
          <cell r="C24" t="str">
            <v>Clairol Natural Instincts</v>
          </cell>
          <cell r="D24">
            <v>1.1000000000000001E-2</v>
          </cell>
          <cell r="F24">
            <v>0</v>
          </cell>
          <cell r="G24">
            <v>-9.9999999999999911</v>
          </cell>
          <cell r="H24">
            <v>10.000000000000009</v>
          </cell>
        </row>
        <row r="25">
          <cell r="B25">
            <v>22</v>
          </cell>
          <cell r="C25" t="str">
            <v>Garnier Nutrisse</v>
          </cell>
          <cell r="D25">
            <v>1.1000000000000001E-2</v>
          </cell>
          <cell r="F25">
            <v>10.000000000000009</v>
          </cell>
          <cell r="G25">
            <v>30.000000000000011</v>
          </cell>
          <cell r="H25">
            <v>40.000000000000021</v>
          </cell>
        </row>
        <row r="26">
          <cell r="B26">
            <v>23</v>
          </cell>
          <cell r="C26" t="str">
            <v>Alberto VO5</v>
          </cell>
          <cell r="D26">
            <v>1.1000000000000001E-2</v>
          </cell>
          <cell r="F26">
            <v>0</v>
          </cell>
          <cell r="G26">
            <v>-20</v>
          </cell>
          <cell r="H26">
            <v>-39.999999999999986</v>
          </cell>
        </row>
        <row r="27">
          <cell r="B27" t="str">
            <v>Source: Euromonitor</v>
          </cell>
        </row>
        <row r="29">
          <cell r="B29" t="str">
            <v>US Skin Care</v>
          </cell>
        </row>
        <row r="30">
          <cell r="D30" t="str">
            <v xml:space="preserve">Market </v>
          </cell>
          <cell r="F30" t="str">
            <v>Share Gain/(Loss)</v>
          </cell>
        </row>
        <row r="31">
          <cell r="B31" t="str">
            <v>Rank</v>
          </cell>
          <cell r="C31" t="str">
            <v>Brand</v>
          </cell>
          <cell r="D31" t="str">
            <v>Share</v>
          </cell>
          <cell r="F31" t="str">
            <v>1 Year</v>
          </cell>
          <cell r="G31" t="str">
            <v>3 Year</v>
          </cell>
          <cell r="H31" t="str">
            <v>5 Year</v>
          </cell>
        </row>
        <row r="32">
          <cell r="B32">
            <v>1</v>
          </cell>
          <cell r="C32" t="str">
            <v>Olay</v>
          </cell>
          <cell r="D32">
            <v>9.5000000000000001E-2</v>
          </cell>
          <cell r="F32">
            <v>19.999999999999879</v>
          </cell>
          <cell r="G32">
            <v>139.99999999999997</v>
          </cell>
          <cell r="H32">
            <v>380</v>
          </cell>
        </row>
        <row r="33">
          <cell r="B33">
            <v>2</v>
          </cell>
          <cell r="C33" t="str">
            <v>Clinique</v>
          </cell>
          <cell r="D33">
            <v>7.2000000000000008E-2</v>
          </cell>
          <cell r="F33">
            <v>20.000000000000018</v>
          </cell>
          <cell r="G33">
            <v>20.000000000000018</v>
          </cell>
          <cell r="H33">
            <v>0</v>
          </cell>
        </row>
        <row r="34">
          <cell r="B34">
            <v>3</v>
          </cell>
          <cell r="C34" t="str">
            <v>Avon</v>
          </cell>
          <cell r="D34">
            <v>6.4000000000000001E-2</v>
          </cell>
          <cell r="F34">
            <v>-20.000000000000018</v>
          </cell>
          <cell r="G34">
            <v>-100.00000000000009</v>
          </cell>
          <cell r="H34">
            <v>-170</v>
          </cell>
        </row>
        <row r="35">
          <cell r="B35">
            <v>4</v>
          </cell>
          <cell r="C35" t="str">
            <v>Neutrogena</v>
          </cell>
          <cell r="D35">
            <v>5.9000000000000004E-2</v>
          </cell>
          <cell r="F35">
            <v>10.000000000000078</v>
          </cell>
          <cell r="G35">
            <v>30.000000000000096</v>
          </cell>
          <cell r="H35">
            <v>40.000000000000036</v>
          </cell>
        </row>
        <row r="36">
          <cell r="B36">
            <v>5</v>
          </cell>
          <cell r="C36" t="str">
            <v>Mary Kay</v>
          </cell>
          <cell r="D36">
            <v>5.4000000000000006E-2</v>
          </cell>
          <cell r="F36">
            <v>-19.999999999999879</v>
          </cell>
          <cell r="G36">
            <v>-9.9999999999999396</v>
          </cell>
          <cell r="H36">
            <v>10.000000000000078</v>
          </cell>
        </row>
        <row r="37">
          <cell r="B37">
            <v>6</v>
          </cell>
          <cell r="C37" t="str">
            <v>Estée Lauder</v>
          </cell>
          <cell r="D37">
            <v>4.5999999999999999E-2</v>
          </cell>
          <cell r="F37">
            <v>-10.000000000000009</v>
          </cell>
          <cell r="G37">
            <v>-60.000000000000057</v>
          </cell>
          <cell r="H37">
            <v>-99.999999999999943</v>
          </cell>
        </row>
        <row r="38">
          <cell r="B38">
            <v>7</v>
          </cell>
          <cell r="C38" t="str">
            <v>Lancôme</v>
          </cell>
          <cell r="D38">
            <v>4.2999999999999997E-2</v>
          </cell>
          <cell r="F38">
            <v>-10.000000000000078</v>
          </cell>
          <cell r="G38">
            <v>-40.000000000000036</v>
          </cell>
          <cell r="H38">
            <v>-40.000000000000036</v>
          </cell>
        </row>
        <row r="39">
          <cell r="B39">
            <v>8</v>
          </cell>
          <cell r="C39" t="str">
            <v>L'Oréal Dermo-Expertise</v>
          </cell>
          <cell r="D39">
            <v>0.03</v>
          </cell>
          <cell r="F39">
            <v>0</v>
          </cell>
          <cell r="G39">
            <v>10.000000000000009</v>
          </cell>
          <cell r="H39">
            <v>49.999999999999972</v>
          </cell>
        </row>
        <row r="40">
          <cell r="B40">
            <v>9</v>
          </cell>
          <cell r="C40" t="str">
            <v>Aveeno</v>
          </cell>
          <cell r="D40">
            <v>2.6000000000000002E-2</v>
          </cell>
          <cell r="F40">
            <v>40</v>
          </cell>
          <cell r="G40">
            <v>90.000000000000014</v>
          </cell>
          <cell r="H40">
            <v>110.00000000000003</v>
          </cell>
        </row>
        <row r="41">
          <cell r="B41">
            <v>10</v>
          </cell>
          <cell r="C41" t="str">
            <v>Bath &amp; Body Works</v>
          </cell>
          <cell r="D41">
            <v>2.5000000000000001E-2</v>
          </cell>
          <cell r="F41">
            <v>-20.000000000000018</v>
          </cell>
          <cell r="G41">
            <v>-69.999999999999986</v>
          </cell>
          <cell r="H41">
            <v>-69.999999999999986</v>
          </cell>
        </row>
        <row r="42">
          <cell r="B42">
            <v>11</v>
          </cell>
          <cell r="C42" t="str">
            <v>Jergens</v>
          </cell>
          <cell r="D42">
            <v>1.9E-2</v>
          </cell>
          <cell r="F42">
            <v>0</v>
          </cell>
          <cell r="G42">
            <v>-30.000000000000028</v>
          </cell>
          <cell r="H42">
            <v>9.9999999999999734</v>
          </cell>
        </row>
        <row r="43">
          <cell r="B43">
            <v>12</v>
          </cell>
          <cell r="C43" t="str">
            <v>Vaseline Intensive Care</v>
          </cell>
          <cell r="D43">
            <v>1.8000000000000002E-2</v>
          </cell>
          <cell r="F43">
            <v>0</v>
          </cell>
          <cell r="G43">
            <v>0</v>
          </cell>
          <cell r="H43">
            <v>0</v>
          </cell>
        </row>
        <row r="44">
          <cell r="B44">
            <v>13</v>
          </cell>
          <cell r="C44" t="str">
            <v>Nivea Body</v>
          </cell>
          <cell r="D44">
            <v>1.6E-2</v>
          </cell>
          <cell r="F44">
            <v>0</v>
          </cell>
          <cell r="G44">
            <v>0</v>
          </cell>
          <cell r="H44">
            <v>0</v>
          </cell>
        </row>
        <row r="45">
          <cell r="B45">
            <v>14</v>
          </cell>
          <cell r="C45" t="str">
            <v>Clarins</v>
          </cell>
          <cell r="D45">
            <v>1.4999999999999999E-2</v>
          </cell>
          <cell r="F45">
            <v>0</v>
          </cell>
          <cell r="G45">
            <v>0</v>
          </cell>
          <cell r="H45">
            <v>0</v>
          </cell>
        </row>
        <row r="46">
          <cell r="B46">
            <v>15</v>
          </cell>
          <cell r="C46" t="str">
            <v>Shiseido</v>
          </cell>
          <cell r="D46">
            <v>1.4999999999999999E-2</v>
          </cell>
          <cell r="F46">
            <v>0</v>
          </cell>
          <cell r="G46">
            <v>0</v>
          </cell>
          <cell r="H46">
            <v>0</v>
          </cell>
        </row>
        <row r="47">
          <cell r="B47">
            <v>16</v>
          </cell>
          <cell r="C47" t="str">
            <v>Pond's</v>
          </cell>
          <cell r="D47">
            <v>1.3999999999999999E-2</v>
          </cell>
          <cell r="F47">
            <v>0</v>
          </cell>
          <cell r="G47">
            <v>0</v>
          </cell>
          <cell r="H47">
            <v>0</v>
          </cell>
        </row>
        <row r="48">
          <cell r="B48">
            <v>17</v>
          </cell>
          <cell r="C48" t="str">
            <v>Origins</v>
          </cell>
          <cell r="D48">
            <v>1.2E-2</v>
          </cell>
          <cell r="F48">
            <v>0</v>
          </cell>
          <cell r="G48">
            <v>0</v>
          </cell>
          <cell r="H48">
            <v>0</v>
          </cell>
        </row>
        <row r="49">
          <cell r="B49">
            <v>18</v>
          </cell>
          <cell r="C49" t="str">
            <v>Lubriderm</v>
          </cell>
          <cell r="D49">
            <v>1.2E-2</v>
          </cell>
          <cell r="F49">
            <v>0</v>
          </cell>
          <cell r="G49">
            <v>0</v>
          </cell>
          <cell r="H49">
            <v>0</v>
          </cell>
        </row>
        <row r="50">
          <cell r="B50">
            <v>19</v>
          </cell>
          <cell r="C50" t="str">
            <v>ChapStick</v>
          </cell>
          <cell r="D50">
            <v>1.2E-2</v>
          </cell>
          <cell r="F50">
            <v>0</v>
          </cell>
          <cell r="G50">
            <v>0</v>
          </cell>
          <cell r="H50">
            <v>0</v>
          </cell>
        </row>
        <row r="51">
          <cell r="B51">
            <v>20</v>
          </cell>
          <cell r="C51" t="str">
            <v>Dove</v>
          </cell>
          <cell r="D51">
            <v>1.2E-2</v>
          </cell>
          <cell r="F51">
            <v>0</v>
          </cell>
          <cell r="G51">
            <v>0</v>
          </cell>
          <cell r="H51">
            <v>0</v>
          </cell>
        </row>
        <row r="52">
          <cell r="B52">
            <v>21</v>
          </cell>
          <cell r="C52" t="str">
            <v>Artistry</v>
          </cell>
          <cell r="D52">
            <v>1.1000000000000001E-2</v>
          </cell>
          <cell r="F52">
            <v>0</v>
          </cell>
          <cell r="G52">
            <v>0</v>
          </cell>
          <cell r="H52">
            <v>0</v>
          </cell>
        </row>
        <row r="53">
          <cell r="B53">
            <v>22</v>
          </cell>
          <cell r="C53" t="str">
            <v>Bioré</v>
          </cell>
          <cell r="D53">
            <v>1.1000000000000001E-2</v>
          </cell>
          <cell r="F53">
            <v>0</v>
          </cell>
          <cell r="G53">
            <v>0</v>
          </cell>
          <cell r="H53">
            <v>0</v>
          </cell>
        </row>
        <row r="54">
          <cell r="B54">
            <v>23</v>
          </cell>
          <cell r="C54" t="str">
            <v>Burt's Bees</v>
          </cell>
          <cell r="D54">
            <v>0.01</v>
          </cell>
          <cell r="F54">
            <v>0</v>
          </cell>
          <cell r="G54">
            <v>0</v>
          </cell>
          <cell r="H54">
            <v>0</v>
          </cell>
        </row>
        <row r="55">
          <cell r="B55">
            <v>24</v>
          </cell>
          <cell r="C55" t="str">
            <v>St Ives Swiss Formula</v>
          </cell>
          <cell r="D55">
            <v>9.0000000000000011E-3</v>
          </cell>
          <cell r="F55">
            <v>0</v>
          </cell>
          <cell r="G55">
            <v>-9.9999999999999911</v>
          </cell>
          <cell r="H55">
            <v>-29.999999999999993</v>
          </cell>
        </row>
        <row r="56">
          <cell r="B56">
            <v>25</v>
          </cell>
          <cell r="C56" t="str">
            <v>Chanel Précision</v>
          </cell>
          <cell r="D56">
            <v>9.0000000000000011E-3</v>
          </cell>
          <cell r="F56">
            <v>0</v>
          </cell>
          <cell r="G56">
            <v>0</v>
          </cell>
          <cell r="H56">
            <v>0</v>
          </cell>
        </row>
        <row r="57">
          <cell r="B57">
            <v>26</v>
          </cell>
          <cell r="C57" t="str">
            <v>Cetaphil</v>
          </cell>
          <cell r="D57">
            <v>8.0000000000000002E-3</v>
          </cell>
          <cell r="F57">
            <v>0</v>
          </cell>
          <cell r="G57">
            <v>0</v>
          </cell>
          <cell r="H57">
            <v>0</v>
          </cell>
        </row>
        <row r="58">
          <cell r="B58">
            <v>27</v>
          </cell>
          <cell r="C58" t="str">
            <v>StriVectin-SD</v>
          </cell>
          <cell r="D58">
            <v>8.0000000000000002E-3</v>
          </cell>
          <cell r="F58">
            <v>0</v>
          </cell>
          <cell r="G58">
            <v>0</v>
          </cell>
          <cell r="H58">
            <v>0</v>
          </cell>
        </row>
        <row r="59">
          <cell r="B59">
            <v>28</v>
          </cell>
          <cell r="C59" t="str">
            <v>Victoria's Secret</v>
          </cell>
          <cell r="D59">
            <v>6.9999999999999993E-3</v>
          </cell>
          <cell r="F59">
            <v>0</v>
          </cell>
          <cell r="G59">
            <v>0</v>
          </cell>
          <cell r="H59">
            <v>0</v>
          </cell>
        </row>
        <row r="60">
          <cell r="B60">
            <v>29</v>
          </cell>
          <cell r="C60" t="str">
            <v>Clean &amp; Clear</v>
          </cell>
          <cell r="D60">
            <v>6.9999999999999993E-3</v>
          </cell>
          <cell r="F60">
            <v>0</v>
          </cell>
          <cell r="G60">
            <v>-10.000000000000009</v>
          </cell>
          <cell r="H60">
            <v>-20.000000000000018</v>
          </cell>
        </row>
        <row r="61">
          <cell r="B61">
            <v>30</v>
          </cell>
          <cell r="C61" t="str">
            <v>The Body Shop</v>
          </cell>
          <cell r="D61">
            <v>6.9999999999999993E-3</v>
          </cell>
          <cell r="F61">
            <v>0</v>
          </cell>
          <cell r="G61" t="e">
            <v>#VALUE!</v>
          </cell>
          <cell r="H61" t="e">
            <v>#VALUE!</v>
          </cell>
        </row>
        <row r="62">
          <cell r="B62">
            <v>31</v>
          </cell>
          <cell r="C62" t="str">
            <v>Purpose</v>
          </cell>
          <cell r="D62">
            <v>6.0000000000000001E-3</v>
          </cell>
          <cell r="F62">
            <v>-9.9999999999999911</v>
          </cell>
          <cell r="G62">
            <v>0</v>
          </cell>
          <cell r="H62">
            <v>0</v>
          </cell>
        </row>
        <row r="63">
          <cell r="B63">
            <v>32</v>
          </cell>
          <cell r="C63" t="str">
            <v>Garnier Nutritioniste</v>
          </cell>
          <cell r="D63">
            <v>6.0000000000000001E-3</v>
          </cell>
          <cell r="F63">
            <v>30</v>
          </cell>
          <cell r="G63" t="e">
            <v>#VALUE!</v>
          </cell>
          <cell r="H63" t="e">
            <v>#VALUE!</v>
          </cell>
        </row>
        <row r="64">
          <cell r="B64">
            <v>33</v>
          </cell>
          <cell r="C64" t="str">
            <v>BeautiControl</v>
          </cell>
          <cell r="D64">
            <v>5.0000000000000001E-3</v>
          </cell>
          <cell r="F64">
            <v>-10</v>
          </cell>
          <cell r="G64">
            <v>-10</v>
          </cell>
          <cell r="H64">
            <v>10</v>
          </cell>
        </row>
        <row r="65">
          <cell r="B65">
            <v>34</v>
          </cell>
          <cell r="C65" t="str">
            <v>Elizabeth Arden</v>
          </cell>
          <cell r="D65">
            <v>5.0000000000000001E-3</v>
          </cell>
          <cell r="F65">
            <v>0</v>
          </cell>
          <cell r="G65">
            <v>-10</v>
          </cell>
          <cell r="H65">
            <v>-10</v>
          </cell>
        </row>
        <row r="66">
          <cell r="B66">
            <v>35</v>
          </cell>
          <cell r="C66" t="str">
            <v>Noxzema</v>
          </cell>
          <cell r="D66">
            <v>5.0000000000000001E-3</v>
          </cell>
          <cell r="F66" t="str">
            <v>-</v>
          </cell>
          <cell r="G66">
            <v>-30</v>
          </cell>
          <cell r="H66">
            <v>-30</v>
          </cell>
        </row>
        <row r="67">
          <cell r="B67" t="str">
            <v>Source: Euromonitor</v>
          </cell>
        </row>
      </sheetData>
      <sheetData sheetId="19">
        <row r="2">
          <cell r="E2" t="str">
            <v>Market Share</v>
          </cell>
          <cell r="H2" t="str">
            <v>Avg. Price</v>
          </cell>
        </row>
        <row r="3">
          <cell r="B3" t="str">
            <v>Brand</v>
          </cell>
          <cell r="C3" t="str">
            <v>Company</v>
          </cell>
          <cell r="E3" t="str">
            <v xml:space="preserve">Dollar </v>
          </cell>
          <cell r="F3" t="str">
            <v>Volume</v>
          </cell>
          <cell r="H3" t="str">
            <v>per bottle</v>
          </cell>
        </row>
        <row r="4">
          <cell r="B4" t="str">
            <v>Matrix</v>
          </cell>
          <cell r="C4" t="str">
            <v>L'Oreal</v>
          </cell>
          <cell r="E4">
            <v>2.8486399999999992E-2</v>
          </cell>
          <cell r="F4">
            <v>7.3389000000000015E-3</v>
          </cell>
          <cell r="H4">
            <v>15.261726250000001</v>
          </cell>
        </row>
        <row r="5">
          <cell r="B5" t="str">
            <v>Neutrogena</v>
          </cell>
          <cell r="C5" t="str">
            <v>Johnson &amp; Johnson</v>
          </cell>
          <cell r="E5">
            <v>3.4713499999999994E-2</v>
          </cell>
          <cell r="F5">
            <v>9.1421000000000002E-3</v>
          </cell>
          <cell r="H5">
            <v>13.107197000000003</v>
          </cell>
        </row>
        <row r="6">
          <cell r="B6" t="str">
            <v>Nexxus</v>
          </cell>
          <cell r="C6" t="str">
            <v>Alberto Culver</v>
          </cell>
          <cell r="E6">
            <v>1.9158300000000003E-2</v>
          </cell>
          <cell r="F6">
            <v>6.4247000000000002E-3</v>
          </cell>
          <cell r="H6">
            <v>12.27467</v>
          </cell>
        </row>
        <row r="7">
          <cell r="B7" t="str">
            <v>Head &amp; Shoulders</v>
          </cell>
          <cell r="C7" t="str">
            <v>Procter &amp; Gamble</v>
          </cell>
          <cell r="E7">
            <v>0.12291559999999997</v>
          </cell>
          <cell r="F7">
            <v>9.1720699999999974E-2</v>
          </cell>
          <cell r="H7">
            <v>5.175071428571429</v>
          </cell>
        </row>
        <row r="8">
          <cell r="B8" t="str">
            <v>L'Oreal</v>
          </cell>
          <cell r="C8" t="str">
            <v>L'Oreal</v>
          </cell>
          <cell r="E8">
            <v>3.5925499999999999E-2</v>
          </cell>
          <cell r="F8">
            <v>2.8524200000000003E-2</v>
          </cell>
          <cell r="H8">
            <v>5.1413127272727275</v>
          </cell>
        </row>
        <row r="9">
          <cell r="B9" t="str">
            <v>Dove</v>
          </cell>
          <cell r="C9" t="str">
            <v>Unilver</v>
          </cell>
          <cell r="E9">
            <v>2.7265899999999999E-2</v>
          </cell>
          <cell r="F9">
            <v>2.2316099999999998E-2</v>
          </cell>
          <cell r="H9">
            <v>4.8785747058823521</v>
          </cell>
        </row>
        <row r="10">
          <cell r="B10" t="str">
            <v>Clairol</v>
          </cell>
          <cell r="C10" t="str">
            <v>Procter &amp; Gamble</v>
          </cell>
          <cell r="E10">
            <v>7.2047999999999987E-2</v>
          </cell>
          <cell r="F10">
            <v>6.3902200000000006E-2</v>
          </cell>
          <cell r="H10">
            <v>4.7721323076923081</v>
          </cell>
        </row>
        <row r="11">
          <cell r="B11" t="str">
            <v>Pantene</v>
          </cell>
          <cell r="C11" t="str">
            <v>Procter &amp; Gamble</v>
          </cell>
          <cell r="E11">
            <v>0.15750830000000002</v>
          </cell>
          <cell r="F11">
            <v>0.1366532</v>
          </cell>
          <cell r="H11">
            <v>4.7059704000000009</v>
          </cell>
        </row>
        <row r="12">
          <cell r="B12" t="str">
            <v>Private Label</v>
          </cell>
          <cell r="C12" t="str">
            <v>NA</v>
          </cell>
          <cell r="E12">
            <v>3.4147400000000001E-2</v>
          </cell>
          <cell r="F12">
            <v>3.3563700000000002E-2</v>
          </cell>
          <cell r="H12">
            <v>4.0006050000000002</v>
          </cell>
        </row>
        <row r="13">
          <cell r="B13" t="str">
            <v>NA</v>
          </cell>
          <cell r="C13" t="str">
            <v>Shampoo Category</v>
          </cell>
          <cell r="E13">
            <v>1</v>
          </cell>
          <cell r="F13">
            <v>1</v>
          </cell>
          <cell r="H13">
            <v>3.9490699999999999</v>
          </cell>
        </row>
        <row r="14">
          <cell r="B14" t="str">
            <v>Garnier Fructis</v>
          </cell>
          <cell r="C14" t="str">
            <v>L'Oreal</v>
          </cell>
          <cell r="E14">
            <v>6.2150900000000009E-2</v>
          </cell>
          <cell r="F14">
            <v>7.44089E-2</v>
          </cell>
          <cell r="H14">
            <v>3.5946153333333339</v>
          </cell>
        </row>
        <row r="15">
          <cell r="B15" t="str">
            <v>Tresemme</v>
          </cell>
          <cell r="C15" t="str">
            <v>Alberto Culver</v>
          </cell>
          <cell r="E15">
            <v>3.3835999999999998E-2</v>
          </cell>
          <cell r="F15">
            <v>6.5450599999999998E-2</v>
          </cell>
          <cell r="H15">
            <v>2.5672472727272724</v>
          </cell>
        </row>
        <row r="16">
          <cell r="B16" t="str">
            <v xml:space="preserve">Suave </v>
          </cell>
          <cell r="C16" t="str">
            <v>Unilver</v>
          </cell>
          <cell r="E16">
            <v>6.84472E-2</v>
          </cell>
          <cell r="F16">
            <v>0.16781939999999998</v>
          </cell>
          <cell r="H16">
            <v>2.0963894444444446</v>
          </cell>
        </row>
        <row r="17">
          <cell r="B17" t="str">
            <v>V05</v>
          </cell>
          <cell r="C17" t="str">
            <v>Alberto Culver</v>
          </cell>
          <cell r="E17">
            <v>2.1888299999999999E-2</v>
          </cell>
          <cell r="F17">
            <v>8.6852200000000004E-2</v>
          </cell>
          <cell r="H17">
            <v>0.99009999999999998</v>
          </cell>
        </row>
        <row r="19">
          <cell r="B19" t="str">
            <v>For 13 weeks ended March 21</v>
          </cell>
        </row>
        <row r="20">
          <cell r="B20" t="str">
            <v>Per 16 ounce bottle</v>
          </cell>
        </row>
      </sheetData>
      <sheetData sheetId="20">
        <row r="1">
          <cell r="O1" t="str">
            <v>SmartCharts</v>
          </cell>
        </row>
        <row r="4">
          <cell r="A4">
            <v>37990</v>
          </cell>
          <cell r="B4">
            <v>37990</v>
          </cell>
        </row>
        <row r="5">
          <cell r="A5">
            <v>38081</v>
          </cell>
          <cell r="B5">
            <v>38081</v>
          </cell>
          <cell r="C5" t="str">
            <v>Define value axis here:</v>
          </cell>
          <cell r="I5" t="str">
            <v>Enter series definition here</v>
          </cell>
        </row>
        <row r="6">
          <cell r="A6">
            <v>38172</v>
          </cell>
          <cell r="B6">
            <v>38172</v>
          </cell>
          <cell r="C6" t="str">
            <v>US Hair Care Market Share</v>
          </cell>
          <cell r="I6" t="str">
            <v xml:space="preserve">ACV </v>
          </cell>
        </row>
        <row r="7">
          <cell r="A7">
            <v>38263</v>
          </cell>
          <cell r="B7">
            <v>38263</v>
          </cell>
        </row>
        <row r="8">
          <cell r="A8">
            <v>38354</v>
          </cell>
          <cell r="B8">
            <v>38354</v>
          </cell>
          <cell r="I8" t="str">
            <v>Private Label</v>
          </cell>
        </row>
        <row r="9">
          <cell r="A9">
            <v>38445</v>
          </cell>
          <cell r="B9">
            <v>38445</v>
          </cell>
          <cell r="C9" t="str">
            <v>Input your data here:</v>
          </cell>
        </row>
        <row r="10">
          <cell r="A10">
            <v>38536</v>
          </cell>
          <cell r="B10">
            <v>38536</v>
          </cell>
        </row>
        <row r="11">
          <cell r="A11">
            <v>38627</v>
          </cell>
          <cell r="B11">
            <v>38627</v>
          </cell>
          <cell r="D11" t="str">
            <v>Series 1</v>
          </cell>
          <cell r="E11" t="str">
            <v>Series 2</v>
          </cell>
          <cell r="Z11" t="str">
            <v>Series 1</v>
          </cell>
          <cell r="AA11" t="str">
            <v>Series 2</v>
          </cell>
          <cell r="AB11">
            <v>0</v>
          </cell>
          <cell r="AC11">
            <v>0</v>
          </cell>
        </row>
        <row r="12">
          <cell r="A12">
            <v>38718</v>
          </cell>
          <cell r="B12">
            <v>38718</v>
          </cell>
          <cell r="C12">
            <v>37717</v>
          </cell>
          <cell r="D12">
            <v>5.9465836709618025E-2</v>
          </cell>
          <cell r="E12">
            <v>1.4964853575172037E-2</v>
          </cell>
          <cell r="Y12">
            <v>37717</v>
          </cell>
          <cell r="Z12">
            <v>5.9465836709618025E-2</v>
          </cell>
          <cell r="AA12">
            <v>1.4964853575172037E-2</v>
          </cell>
          <cell r="AB12" t="b">
            <v>0</v>
          </cell>
          <cell r="AC12" t="b">
            <v>0</v>
          </cell>
        </row>
        <row r="13">
          <cell r="A13">
            <v>38809</v>
          </cell>
          <cell r="B13">
            <v>38809</v>
          </cell>
          <cell r="C13">
            <v>37808</v>
          </cell>
          <cell r="D13">
            <v>5.836260274333023E-2</v>
          </cell>
          <cell r="E13">
            <v>1.279909043582019E-2</v>
          </cell>
          <cell r="Y13">
            <v>37808</v>
          </cell>
          <cell r="Z13">
            <v>5.836260274333023E-2</v>
          </cell>
          <cell r="AA13">
            <v>1.279909043582019E-2</v>
          </cell>
          <cell r="AB13" t="b">
            <v>0</v>
          </cell>
          <cell r="AC13" t="b">
            <v>0</v>
          </cell>
        </row>
        <row r="14">
          <cell r="A14">
            <v>38900</v>
          </cell>
          <cell r="B14">
            <v>38900</v>
          </cell>
          <cell r="C14">
            <v>37899</v>
          </cell>
          <cell r="D14">
            <v>6.1412341885839071E-2</v>
          </cell>
          <cell r="E14">
            <v>1.2931466071906497E-2</v>
          </cell>
          <cell r="Y14">
            <v>37899</v>
          </cell>
          <cell r="Z14">
            <v>6.1412341885839071E-2</v>
          </cell>
          <cell r="AA14">
            <v>1.2931466071906497E-2</v>
          </cell>
          <cell r="AB14" t="b">
            <v>0</v>
          </cell>
          <cell r="AC14" t="b">
            <v>0</v>
          </cell>
        </row>
        <row r="15">
          <cell r="A15">
            <v>38991</v>
          </cell>
          <cell r="B15">
            <v>38991</v>
          </cell>
          <cell r="C15">
            <v>37990</v>
          </cell>
          <cell r="D15">
            <v>5.9158725843489475E-2</v>
          </cell>
          <cell r="E15">
            <v>1.2935803598890091E-2</v>
          </cell>
          <cell r="Y15">
            <v>37990</v>
          </cell>
          <cell r="Z15">
            <v>5.9158725843489475E-2</v>
          </cell>
          <cell r="AA15">
            <v>1.2935803598890091E-2</v>
          </cell>
          <cell r="AB15" t="b">
            <v>0</v>
          </cell>
          <cell r="AC15" t="b">
            <v>0</v>
          </cell>
        </row>
        <row r="16">
          <cell r="A16">
            <v>39082</v>
          </cell>
          <cell r="B16">
            <v>39082</v>
          </cell>
          <cell r="C16">
            <v>38081</v>
          </cell>
          <cell r="D16">
            <v>5.9699034224278122E-2</v>
          </cell>
          <cell r="E16">
            <v>1.2761507900746283E-2</v>
          </cell>
          <cell r="Y16">
            <v>38081</v>
          </cell>
          <cell r="Z16">
            <v>5.9699034224278122E-2</v>
          </cell>
          <cell r="AA16">
            <v>1.2761507900746283E-2</v>
          </cell>
          <cell r="AB16" t="b">
            <v>0</v>
          </cell>
          <cell r="AC16" t="b">
            <v>0</v>
          </cell>
        </row>
        <row r="17">
          <cell r="A17">
            <v>39173</v>
          </cell>
          <cell r="B17">
            <v>39173</v>
          </cell>
          <cell r="C17">
            <v>38172</v>
          </cell>
          <cell r="D17">
            <v>6.0080225328299729E-2</v>
          </cell>
          <cell r="E17">
            <v>1.1994545033982746E-2</v>
          </cell>
          <cell r="Y17">
            <v>38172</v>
          </cell>
          <cell r="Z17">
            <v>6.0080225328299729E-2</v>
          </cell>
          <cell r="AA17">
            <v>1.1994545033982746E-2</v>
          </cell>
          <cell r="AB17" t="b">
            <v>0</v>
          </cell>
          <cell r="AC17" t="b">
            <v>0</v>
          </cell>
        </row>
        <row r="18">
          <cell r="A18">
            <v>39264</v>
          </cell>
          <cell r="B18">
            <v>39264</v>
          </cell>
          <cell r="C18">
            <v>38263</v>
          </cell>
          <cell r="D18">
            <v>6.2929932182705164E-2</v>
          </cell>
          <cell r="E18">
            <v>1.3225910116822786E-2</v>
          </cell>
          <cell r="Y18">
            <v>38263</v>
          </cell>
          <cell r="Z18">
            <v>6.2929932182705164E-2</v>
          </cell>
          <cell r="AA18">
            <v>1.3225910116822786E-2</v>
          </cell>
          <cell r="AB18" t="b">
            <v>0</v>
          </cell>
          <cell r="AC18" t="b">
            <v>0</v>
          </cell>
        </row>
        <row r="19">
          <cell r="A19">
            <v>39355</v>
          </cell>
          <cell r="B19">
            <v>39355</v>
          </cell>
          <cell r="C19">
            <v>38354</v>
          </cell>
          <cell r="D19">
            <v>6.2179645742787282E-2</v>
          </cell>
          <cell r="E19">
            <v>1.3103842381574179E-2</v>
          </cell>
          <cell r="Y19">
            <v>38354</v>
          </cell>
          <cell r="Z19">
            <v>6.2179645742787282E-2</v>
          </cell>
          <cell r="AA19">
            <v>1.3103842381574179E-2</v>
          </cell>
          <cell r="AB19" t="b">
            <v>0</v>
          </cell>
          <cell r="AC19" t="b">
            <v>0</v>
          </cell>
        </row>
        <row r="20">
          <cell r="A20">
            <v>39446</v>
          </cell>
          <cell r="B20">
            <v>39446</v>
          </cell>
          <cell r="C20">
            <v>38445</v>
          </cell>
          <cell r="D20">
            <v>6.3059915860705404E-2</v>
          </cell>
          <cell r="E20">
            <v>1.2072969594939229E-2</v>
          </cell>
          <cell r="Y20">
            <v>38445</v>
          </cell>
          <cell r="Z20">
            <v>6.3059915860705404E-2</v>
          </cell>
          <cell r="AA20">
            <v>1.2072969594939229E-2</v>
          </cell>
          <cell r="AB20" t="b">
            <v>0</v>
          </cell>
          <cell r="AC20" t="b">
            <v>0</v>
          </cell>
        </row>
        <row r="21">
          <cell r="A21">
            <v>39537</v>
          </cell>
          <cell r="B21">
            <v>39537</v>
          </cell>
          <cell r="C21">
            <v>38536</v>
          </cell>
          <cell r="D21">
            <v>6.3507766336862614E-2</v>
          </cell>
          <cell r="E21">
            <v>1.1244648921554483E-2</v>
          </cell>
          <cell r="Y21">
            <v>38536</v>
          </cell>
          <cell r="Z21">
            <v>6.3507766336862614E-2</v>
          </cell>
          <cell r="AA21">
            <v>1.1244648921554483E-2</v>
          </cell>
          <cell r="AB21" t="b">
            <v>0</v>
          </cell>
          <cell r="AC21" t="b">
            <v>0</v>
          </cell>
        </row>
        <row r="22">
          <cell r="A22">
            <v>39628</v>
          </cell>
          <cell r="B22">
            <v>39628</v>
          </cell>
          <cell r="C22">
            <v>38627</v>
          </cell>
          <cell r="D22">
            <v>6.4434581288386486E-2</v>
          </cell>
          <cell r="E22">
            <v>1.1398591605809319E-2</v>
          </cell>
          <cell r="Y22">
            <v>38627</v>
          </cell>
          <cell r="Z22">
            <v>6.4434581288386486E-2</v>
          </cell>
          <cell r="AA22">
            <v>1.1398591605809319E-2</v>
          </cell>
          <cell r="AB22" t="b">
            <v>0</v>
          </cell>
          <cell r="AC22" t="b">
            <v>0</v>
          </cell>
        </row>
        <row r="23">
          <cell r="A23">
            <v>39719</v>
          </cell>
          <cell r="B23">
            <v>39719</v>
          </cell>
          <cell r="C23">
            <v>38718</v>
          </cell>
          <cell r="D23">
            <v>6.5632941967797356E-2</v>
          </cell>
          <cell r="E23">
            <v>1.1819209531965793E-2</v>
          </cell>
          <cell r="Y23">
            <v>38718</v>
          </cell>
          <cell r="Z23">
            <v>6.5632941967797356E-2</v>
          </cell>
          <cell r="AA23">
            <v>1.1819209531965793E-2</v>
          </cell>
          <cell r="AB23" t="b">
            <v>0</v>
          </cell>
          <cell r="AC23" t="b">
            <v>0</v>
          </cell>
        </row>
        <row r="24">
          <cell r="A24">
            <v>39810</v>
          </cell>
          <cell r="B24">
            <v>39810</v>
          </cell>
          <cell r="C24">
            <v>38809</v>
          </cell>
          <cell r="D24">
            <v>7.3490907995944668E-2</v>
          </cell>
          <cell r="E24">
            <v>1.2762543746200949E-2</v>
          </cell>
          <cell r="Y24">
            <v>38809</v>
          </cell>
          <cell r="Z24">
            <v>7.3490907995944668E-2</v>
          </cell>
          <cell r="AA24">
            <v>1.2762543746200949E-2</v>
          </cell>
          <cell r="AB24" t="b">
            <v>0</v>
          </cell>
          <cell r="AC24" t="b">
            <v>0</v>
          </cell>
        </row>
        <row r="25">
          <cell r="A25">
            <v>39901</v>
          </cell>
          <cell r="B25">
            <v>39901</v>
          </cell>
          <cell r="C25">
            <v>38900</v>
          </cell>
          <cell r="D25">
            <v>7.7553304123790759E-2</v>
          </cell>
          <cell r="E25">
            <v>1.241546563129336E-2</v>
          </cell>
          <cell r="Y25">
            <v>38900</v>
          </cell>
          <cell r="Z25">
            <v>7.7553304123790759E-2</v>
          </cell>
          <cell r="AA25">
            <v>1.241546563129336E-2</v>
          </cell>
          <cell r="AB25" t="b">
            <v>0</v>
          </cell>
          <cell r="AC25" t="b">
            <v>0</v>
          </cell>
        </row>
        <row r="26">
          <cell r="A26">
            <v>40006</v>
          </cell>
          <cell r="B26">
            <v>40006</v>
          </cell>
          <cell r="C26">
            <v>38991</v>
          </cell>
          <cell r="D26">
            <v>7.6806183591370231E-2</v>
          </cell>
          <cell r="E26">
            <v>1.2436720999194115E-2</v>
          </cell>
          <cell r="Y26">
            <v>38991</v>
          </cell>
          <cell r="Z26">
            <v>7.6806183591370231E-2</v>
          </cell>
          <cell r="AA26">
            <v>1.2436720999194115E-2</v>
          </cell>
          <cell r="AB26" t="b">
            <v>0</v>
          </cell>
          <cell r="AC26" t="b">
            <v>0</v>
          </cell>
        </row>
        <row r="27">
          <cell r="C27">
            <v>39082</v>
          </cell>
          <cell r="D27">
            <v>7.7957814259145497E-2</v>
          </cell>
          <cell r="E27">
            <v>1.2867718282981737E-2</v>
          </cell>
          <cell r="Y27">
            <v>39082</v>
          </cell>
          <cell r="Z27">
            <v>7.7957814259145497E-2</v>
          </cell>
          <cell r="AA27">
            <v>1.2867718282981737E-2</v>
          </cell>
          <cell r="AB27" t="b">
            <v>0</v>
          </cell>
          <cell r="AC27" t="b">
            <v>0</v>
          </cell>
        </row>
        <row r="28">
          <cell r="C28">
            <v>39173</v>
          </cell>
          <cell r="D28">
            <v>7.9839892914254057E-2</v>
          </cell>
          <cell r="E28">
            <v>1.3700713607523217E-2</v>
          </cell>
          <cell r="Y28">
            <v>39173</v>
          </cell>
          <cell r="Z28">
            <v>7.9839892914254057E-2</v>
          </cell>
          <cell r="AA28">
            <v>1.3700713607523217E-2</v>
          </cell>
          <cell r="AB28" t="b">
            <v>0</v>
          </cell>
          <cell r="AC28" t="b">
            <v>0</v>
          </cell>
        </row>
        <row r="29">
          <cell r="C29">
            <v>39264</v>
          </cell>
          <cell r="D29">
            <v>8.2622598049538767E-2</v>
          </cell>
          <cell r="E29">
            <v>1.3366945493745251E-2</v>
          </cell>
          <cell r="Y29">
            <v>39264</v>
          </cell>
          <cell r="Z29">
            <v>8.2622598049538767E-2</v>
          </cell>
          <cell r="AA29">
            <v>1.3366945493745251E-2</v>
          </cell>
          <cell r="AB29" t="b">
            <v>0</v>
          </cell>
          <cell r="AC29" t="b">
            <v>0</v>
          </cell>
        </row>
        <row r="30">
          <cell r="C30">
            <v>39355</v>
          </cell>
          <cell r="D30">
            <v>8.354882918178981E-2</v>
          </cell>
          <cell r="E30">
            <v>1.4245209308460944E-2</v>
          </cell>
          <cell r="Y30">
            <v>39355</v>
          </cell>
          <cell r="Z30">
            <v>8.354882918178981E-2</v>
          </cell>
          <cell r="AA30">
            <v>1.4245209308460944E-2</v>
          </cell>
          <cell r="AB30" t="b">
            <v>0</v>
          </cell>
          <cell r="AC30" t="b">
            <v>0</v>
          </cell>
        </row>
        <row r="31">
          <cell r="C31">
            <v>39446</v>
          </cell>
          <cell r="D31">
            <v>8.4852211044171608E-2</v>
          </cell>
          <cell r="E31">
            <v>1.5117513702973597E-2</v>
          </cell>
          <cell r="Y31">
            <v>39446</v>
          </cell>
          <cell r="Z31">
            <v>8.4852211044171608E-2</v>
          </cell>
          <cell r="AA31">
            <v>1.5117513702973597E-2</v>
          </cell>
          <cell r="AB31" t="b">
            <v>0</v>
          </cell>
          <cell r="AC31" t="b">
            <v>0</v>
          </cell>
        </row>
        <row r="32">
          <cell r="C32">
            <v>39537</v>
          </cell>
          <cell r="D32">
            <v>8.546181847032161E-2</v>
          </cell>
          <cell r="E32">
            <v>1.7098758671702109E-2</v>
          </cell>
          <cell r="Y32">
            <v>39537</v>
          </cell>
          <cell r="Z32">
            <v>8.546181847032161E-2</v>
          </cell>
          <cell r="AA32">
            <v>1.7098758671702109E-2</v>
          </cell>
          <cell r="AB32" t="b">
            <v>0</v>
          </cell>
          <cell r="AC32" t="b">
            <v>0</v>
          </cell>
        </row>
        <row r="33">
          <cell r="C33">
            <v>39628</v>
          </cell>
          <cell r="D33">
            <v>8.6429106159522623E-2</v>
          </cell>
          <cell r="E33">
            <v>1.8394779983158898E-2</v>
          </cell>
          <cell r="Y33">
            <v>39628</v>
          </cell>
          <cell r="Z33">
            <v>8.6429106159522623E-2</v>
          </cell>
          <cell r="AA33">
            <v>1.8394779983158898E-2</v>
          </cell>
          <cell r="AB33" t="b">
            <v>0</v>
          </cell>
          <cell r="AC33" t="b">
            <v>0</v>
          </cell>
        </row>
        <row r="34">
          <cell r="C34">
            <v>39719</v>
          </cell>
          <cell r="D34">
            <v>8.8959859707870195E-2</v>
          </cell>
          <cell r="E34">
            <v>2.0316107966023452E-2</v>
          </cell>
          <cell r="Y34">
            <v>39719</v>
          </cell>
          <cell r="Z34">
            <v>8.8959859707870195E-2</v>
          </cell>
          <cell r="AA34">
            <v>2.0316107966023452E-2</v>
          </cell>
          <cell r="AB34" t="b">
            <v>0</v>
          </cell>
          <cell r="AC34" t="b">
            <v>0</v>
          </cell>
        </row>
        <row r="35">
          <cell r="C35">
            <v>39810</v>
          </cell>
          <cell r="D35">
            <v>9.0999298433487225E-2</v>
          </cell>
          <cell r="E35">
            <v>1.8332479417030659E-2</v>
          </cell>
          <cell r="Y35">
            <v>39810</v>
          </cell>
          <cell r="Z35">
            <v>9.0999298433487225E-2</v>
          </cell>
          <cell r="AA35">
            <v>1.8332479417030659E-2</v>
          </cell>
          <cell r="AB35" t="b">
            <v>0</v>
          </cell>
          <cell r="AC35" t="b">
            <v>0</v>
          </cell>
        </row>
        <row r="36">
          <cell r="C36">
            <v>39901</v>
          </cell>
          <cell r="D36">
            <v>9.1936150385303506E-2</v>
          </cell>
          <cell r="E36">
            <v>1.7733470415375849E-2</v>
          </cell>
          <cell r="Y36">
            <v>39901</v>
          </cell>
          <cell r="Z36">
            <v>9.1936150385303506E-2</v>
          </cell>
          <cell r="AA36">
            <v>1.7733470415375849E-2</v>
          </cell>
          <cell r="AB36" t="b">
            <v>0</v>
          </cell>
          <cell r="AC36" t="b">
            <v>0</v>
          </cell>
        </row>
        <row r="37">
          <cell r="C37">
            <v>40006</v>
          </cell>
          <cell r="D37">
            <v>9.3585285691866082E-2</v>
          </cell>
          <cell r="E37">
            <v>1.6246995147189702E-2</v>
          </cell>
          <cell r="Y37">
            <v>40006</v>
          </cell>
          <cell r="Z37">
            <v>9.3585285691866082E-2</v>
          </cell>
          <cell r="AA37">
            <v>1.6246995147189702E-2</v>
          </cell>
          <cell r="AB37" t="b">
            <v>0</v>
          </cell>
          <cell r="AC37" t="b">
            <v>0</v>
          </cell>
        </row>
        <row r="38">
          <cell r="Y38" t="b">
            <v>0</v>
          </cell>
          <cell r="Z38" t="b">
            <v>0</v>
          </cell>
          <cell r="AA38" t="b">
            <v>0</v>
          </cell>
          <cell r="AB38" t="b">
            <v>0</v>
          </cell>
          <cell r="AC38" t="b">
            <v>0</v>
          </cell>
        </row>
        <row r="39">
          <cell r="Y39" t="b">
            <v>0</v>
          </cell>
          <cell r="Z39" t="b">
            <v>0</v>
          </cell>
          <cell r="AA39" t="b">
            <v>0</v>
          </cell>
          <cell r="AB39" t="b">
            <v>0</v>
          </cell>
          <cell r="AC39" t="b">
            <v>0</v>
          </cell>
        </row>
        <row r="40">
          <cell r="G40" t="str">
            <v>Do not change the width of the exhibit or font sizes (they are optimized for export to Word).</v>
          </cell>
          <cell r="Y40" t="b">
            <v>0</v>
          </cell>
          <cell r="Z40" t="b">
            <v>0</v>
          </cell>
          <cell r="AA40" t="b">
            <v>0</v>
          </cell>
          <cell r="AB40" t="b">
            <v>0</v>
          </cell>
          <cell r="AC40" t="e">
            <v>#REF!</v>
          </cell>
        </row>
        <row r="41">
          <cell r="Y41" t="b">
            <v>0</v>
          </cell>
          <cell r="Z41" t="b">
            <v>0</v>
          </cell>
          <cell r="AA41" t="b">
            <v>0</v>
          </cell>
          <cell r="AB41" t="b">
            <v>0</v>
          </cell>
          <cell r="AC41" t="e">
            <v>#REF!</v>
          </cell>
        </row>
        <row r="42">
          <cell r="G42" t="str">
            <v>Do not delete any rows or columns (some gray cells are used for calculations).</v>
          </cell>
          <cell r="Y42" t="b">
            <v>0</v>
          </cell>
          <cell r="Z42" t="b">
            <v>0</v>
          </cell>
          <cell r="AA42" t="b">
            <v>0</v>
          </cell>
          <cell r="AB42" t="b">
            <v>0</v>
          </cell>
          <cell r="AC42" t="e">
            <v>#REF!</v>
          </cell>
        </row>
        <row r="43">
          <cell r="L43" t="str">
            <v xml:space="preserve"> </v>
          </cell>
          <cell r="Y43" t="b">
            <v>0</v>
          </cell>
          <cell r="Z43" t="b">
            <v>0</v>
          </cell>
          <cell r="AA43" t="b">
            <v>0</v>
          </cell>
          <cell r="AB43" t="b">
            <v>0</v>
          </cell>
          <cell r="AC43" t="b">
            <v>0</v>
          </cell>
        </row>
        <row r="44">
          <cell r="Y44" t="b">
            <v>0</v>
          </cell>
          <cell r="Z44" t="b">
            <v>0</v>
          </cell>
          <cell r="AA44" t="b">
            <v>0</v>
          </cell>
          <cell r="AB44" t="b">
            <v>0</v>
          </cell>
          <cell r="AC44" t="b">
            <v>0</v>
          </cell>
        </row>
        <row r="45">
          <cell r="Y45" t="b">
            <v>0</v>
          </cell>
          <cell r="Z45" t="b">
            <v>0</v>
          </cell>
          <cell r="AA45" t="b">
            <v>0</v>
          </cell>
          <cell r="AB45" t="b">
            <v>0</v>
          </cell>
          <cell r="AC45" t="b">
            <v>0</v>
          </cell>
        </row>
        <row r="46">
          <cell r="Y46" t="b">
            <v>0</v>
          </cell>
          <cell r="Z46" t="b">
            <v>0</v>
          </cell>
          <cell r="AA46" t="b">
            <v>0</v>
          </cell>
          <cell r="AB46" t="b">
            <v>0</v>
          </cell>
          <cell r="AC46" t="b">
            <v>0</v>
          </cell>
        </row>
        <row r="47">
          <cell r="Y47" t="b">
            <v>0</v>
          </cell>
          <cell r="Z47" t="b">
            <v>0</v>
          </cell>
          <cell r="AA47" t="b">
            <v>0</v>
          </cell>
          <cell r="AB47" t="b">
            <v>0</v>
          </cell>
          <cell r="AC47" t="b">
            <v>0</v>
          </cell>
        </row>
        <row r="48">
          <cell r="Y48" t="b">
            <v>0</v>
          </cell>
          <cell r="Z48" t="b">
            <v>0</v>
          </cell>
          <cell r="AA48" t="b">
            <v>0</v>
          </cell>
          <cell r="AB48" t="b">
            <v>0</v>
          </cell>
          <cell r="AC48" t="b">
            <v>0</v>
          </cell>
        </row>
        <row r="49">
          <cell r="Y49" t="b">
            <v>0</v>
          </cell>
          <cell r="Z49" t="b">
            <v>0</v>
          </cell>
          <cell r="AA49" t="b">
            <v>0</v>
          </cell>
          <cell r="AB49" t="b">
            <v>0</v>
          </cell>
          <cell r="AC49" t="b">
            <v>0</v>
          </cell>
        </row>
        <row r="50">
          <cell r="Y50" t="b">
            <v>0</v>
          </cell>
          <cell r="Z50" t="b">
            <v>0</v>
          </cell>
          <cell r="AA50" t="b">
            <v>0</v>
          </cell>
          <cell r="AB50" t="b">
            <v>0</v>
          </cell>
          <cell r="AC50" t="b">
            <v>0</v>
          </cell>
        </row>
        <row r="51">
          <cell r="Y51" t="b">
            <v>0</v>
          </cell>
          <cell r="Z51" t="b">
            <v>0</v>
          </cell>
          <cell r="AA51" t="b">
            <v>0</v>
          </cell>
          <cell r="AB51" t="b">
            <v>0</v>
          </cell>
          <cell r="AC51" t="b">
            <v>0</v>
          </cell>
        </row>
        <row r="52">
          <cell r="Y52" t="b">
            <v>0</v>
          </cell>
          <cell r="Z52" t="b">
            <v>0</v>
          </cell>
          <cell r="AA52" t="b">
            <v>0</v>
          </cell>
          <cell r="AB52" t="b">
            <v>0</v>
          </cell>
          <cell r="AC52" t="b">
            <v>0</v>
          </cell>
        </row>
        <row r="53">
          <cell r="Y53" t="b">
            <v>0</v>
          </cell>
          <cell r="Z53" t="b">
            <v>0</v>
          </cell>
          <cell r="AA53" t="b">
            <v>0</v>
          </cell>
          <cell r="AB53" t="b">
            <v>0</v>
          </cell>
          <cell r="AC53" t="b">
            <v>0</v>
          </cell>
        </row>
        <row r="54">
          <cell r="Y54" t="b">
            <v>0</v>
          </cell>
          <cell r="Z54" t="b">
            <v>0</v>
          </cell>
          <cell r="AA54" t="b">
            <v>0</v>
          </cell>
          <cell r="AB54" t="b">
            <v>0</v>
          </cell>
          <cell r="AC54" t="b">
            <v>0</v>
          </cell>
        </row>
        <row r="55">
          <cell r="Y55" t="b">
            <v>0</v>
          </cell>
          <cell r="Z55" t="b">
            <v>0</v>
          </cell>
          <cell r="AA55" t="b">
            <v>0</v>
          </cell>
          <cell r="AB55" t="b">
            <v>0</v>
          </cell>
          <cell r="AC55" t="b">
            <v>0</v>
          </cell>
        </row>
        <row r="56">
          <cell r="Y56" t="b">
            <v>0</v>
          </cell>
          <cell r="Z56" t="b">
            <v>0</v>
          </cell>
          <cell r="AA56" t="b">
            <v>0</v>
          </cell>
          <cell r="AB56" t="b">
            <v>0</v>
          </cell>
          <cell r="AC56" t="b">
            <v>0</v>
          </cell>
        </row>
        <row r="57">
          <cell r="Y57" t="b">
            <v>0</v>
          </cell>
          <cell r="Z57" t="b">
            <v>0</v>
          </cell>
          <cell r="AA57" t="b">
            <v>0</v>
          </cell>
          <cell r="AB57" t="b">
            <v>0</v>
          </cell>
          <cell r="AC57" t="b">
            <v>0</v>
          </cell>
        </row>
        <row r="58">
          <cell r="Y58" t="b">
            <v>0</v>
          </cell>
          <cell r="Z58" t="b">
            <v>0</v>
          </cell>
          <cell r="AA58" t="b">
            <v>0</v>
          </cell>
          <cell r="AB58" t="b">
            <v>0</v>
          </cell>
          <cell r="AC58" t="b">
            <v>0</v>
          </cell>
        </row>
        <row r="59">
          <cell r="Y59" t="b">
            <v>0</v>
          </cell>
          <cell r="Z59" t="b">
            <v>0</v>
          </cell>
          <cell r="AA59" t="b">
            <v>0</v>
          </cell>
          <cell r="AB59" t="b">
            <v>0</v>
          </cell>
          <cell r="AC59" t="b">
            <v>0</v>
          </cell>
        </row>
        <row r="60">
          <cell r="Y60" t="b">
            <v>0</v>
          </cell>
          <cell r="Z60" t="b">
            <v>0</v>
          </cell>
          <cell r="AA60" t="b">
            <v>0</v>
          </cell>
          <cell r="AB60" t="b">
            <v>0</v>
          </cell>
          <cell r="AC60" t="b">
            <v>0</v>
          </cell>
        </row>
        <row r="61">
          <cell r="Y61" t="b">
            <v>0</v>
          </cell>
          <cell r="Z61" t="b">
            <v>0</v>
          </cell>
          <cell r="AA61" t="b">
            <v>0</v>
          </cell>
          <cell r="AB61" t="b">
            <v>0</v>
          </cell>
          <cell r="AC61" t="b">
            <v>0</v>
          </cell>
        </row>
        <row r="62">
          <cell r="Y62" t="b">
            <v>0</v>
          </cell>
          <cell r="Z62" t="b">
            <v>0</v>
          </cell>
          <cell r="AA62" t="b">
            <v>0</v>
          </cell>
          <cell r="AB62" t="b">
            <v>0</v>
          </cell>
          <cell r="AC62" t="b">
            <v>0</v>
          </cell>
        </row>
        <row r="63">
          <cell r="Y63" t="b">
            <v>0</v>
          </cell>
          <cell r="Z63" t="b">
            <v>0</v>
          </cell>
          <cell r="AA63" t="b">
            <v>0</v>
          </cell>
          <cell r="AB63" t="b">
            <v>0</v>
          </cell>
          <cell r="AC63" t="b">
            <v>0</v>
          </cell>
        </row>
        <row r="64">
          <cell r="Y64" t="b">
            <v>0</v>
          </cell>
          <cell r="Z64" t="b">
            <v>0</v>
          </cell>
          <cell r="AA64" t="b">
            <v>0</v>
          </cell>
          <cell r="AB64" t="b">
            <v>0</v>
          </cell>
          <cell r="AC64" t="b">
            <v>0</v>
          </cell>
        </row>
        <row r="65">
          <cell r="Y65" t="b">
            <v>0</v>
          </cell>
          <cell r="Z65" t="b">
            <v>0</v>
          </cell>
          <cell r="AA65" t="b">
            <v>0</v>
          </cell>
          <cell r="AB65" t="b">
            <v>0</v>
          </cell>
          <cell r="AC65" t="b">
            <v>0</v>
          </cell>
        </row>
        <row r="66">
          <cell r="Y66" t="b">
            <v>0</v>
          </cell>
          <cell r="Z66" t="b">
            <v>0</v>
          </cell>
          <cell r="AA66" t="b">
            <v>0</v>
          </cell>
          <cell r="AB66" t="b">
            <v>0</v>
          </cell>
          <cell r="AC66" t="b">
            <v>0</v>
          </cell>
        </row>
        <row r="67">
          <cell r="Y67" t="b">
            <v>0</v>
          </cell>
          <cell r="Z67" t="b">
            <v>0</v>
          </cell>
          <cell r="AA67" t="b">
            <v>0</v>
          </cell>
          <cell r="AB67" t="b">
            <v>0</v>
          </cell>
          <cell r="AC67" t="b">
            <v>0</v>
          </cell>
        </row>
        <row r="68">
          <cell r="Y68" t="b">
            <v>0</v>
          </cell>
          <cell r="Z68" t="b">
            <v>0</v>
          </cell>
          <cell r="AA68" t="b">
            <v>0</v>
          </cell>
          <cell r="AB68" t="b">
            <v>0</v>
          </cell>
          <cell r="AC68" t="b">
            <v>0</v>
          </cell>
        </row>
        <row r="69">
          <cell r="Y69" t="b">
            <v>0</v>
          </cell>
          <cell r="Z69" t="b">
            <v>0</v>
          </cell>
          <cell r="AA69" t="b">
            <v>0</v>
          </cell>
          <cell r="AB69" t="b">
            <v>0</v>
          </cell>
          <cell r="AC69" t="b">
            <v>0</v>
          </cell>
        </row>
        <row r="70">
          <cell r="K70" t="str">
            <v>M</v>
          </cell>
          <cell r="Y70" t="b">
            <v>0</v>
          </cell>
          <cell r="Z70" t="b">
            <v>0</v>
          </cell>
          <cell r="AA70" t="b">
            <v>0</v>
          </cell>
          <cell r="AB70" t="b">
            <v>0</v>
          </cell>
          <cell r="AC70" t="b">
            <v>0</v>
          </cell>
        </row>
        <row r="71">
          <cell r="Y71" t="b">
            <v>0</v>
          </cell>
          <cell r="Z71" t="b">
            <v>0</v>
          </cell>
          <cell r="AA71" t="b">
            <v>0</v>
          </cell>
          <cell r="AB71" t="b">
            <v>0</v>
          </cell>
          <cell r="AC71" t="b">
            <v>0</v>
          </cell>
        </row>
        <row r="72">
          <cell r="Y72" t="b">
            <v>0</v>
          </cell>
          <cell r="Z72" t="b">
            <v>0</v>
          </cell>
          <cell r="AA72" t="b">
            <v>0</v>
          </cell>
          <cell r="AB72" t="b">
            <v>0</v>
          </cell>
          <cell r="AC72" t="b">
            <v>0</v>
          </cell>
        </row>
        <row r="73">
          <cell r="Y73" t="b">
            <v>0</v>
          </cell>
          <cell r="Z73" t="b">
            <v>0</v>
          </cell>
          <cell r="AA73" t="b">
            <v>0</v>
          </cell>
          <cell r="AB73" t="b">
            <v>0</v>
          </cell>
          <cell r="AC73" t="b">
            <v>0</v>
          </cell>
        </row>
        <row r="74">
          <cell r="Y74" t="b">
            <v>0</v>
          </cell>
          <cell r="Z74" t="b">
            <v>0</v>
          </cell>
          <cell r="AA74" t="b">
            <v>0</v>
          </cell>
          <cell r="AB74" t="b">
            <v>0</v>
          </cell>
          <cell r="AC74" t="b">
            <v>0</v>
          </cell>
        </row>
        <row r="75">
          <cell r="Y75" t="b">
            <v>0</v>
          </cell>
          <cell r="Z75" t="b">
            <v>0</v>
          </cell>
          <cell r="AA75" t="b">
            <v>0</v>
          </cell>
          <cell r="AB75" t="b">
            <v>0</v>
          </cell>
          <cell r="AC75" t="b">
            <v>0</v>
          </cell>
        </row>
        <row r="76">
          <cell r="Y76" t="b">
            <v>0</v>
          </cell>
          <cell r="Z76" t="b">
            <v>0</v>
          </cell>
          <cell r="AA76" t="b">
            <v>0</v>
          </cell>
          <cell r="AB76" t="b">
            <v>0</v>
          </cell>
          <cell r="AC76" t="b">
            <v>0</v>
          </cell>
        </row>
        <row r="77">
          <cell r="Y77" t="b">
            <v>0</v>
          </cell>
          <cell r="Z77" t="b">
            <v>0</v>
          </cell>
          <cell r="AA77" t="b">
            <v>0</v>
          </cell>
          <cell r="AB77" t="b">
            <v>0</v>
          </cell>
          <cell r="AC77" t="b">
            <v>0</v>
          </cell>
        </row>
        <row r="78">
          <cell r="Y78" t="b">
            <v>0</v>
          </cell>
          <cell r="Z78" t="b">
            <v>0</v>
          </cell>
          <cell r="AA78" t="b">
            <v>0</v>
          </cell>
          <cell r="AB78" t="b">
            <v>0</v>
          </cell>
          <cell r="AC78" t="b">
            <v>0</v>
          </cell>
        </row>
        <row r="79">
          <cell r="Y79" t="b">
            <v>0</v>
          </cell>
          <cell r="Z79" t="b">
            <v>0</v>
          </cell>
          <cell r="AA79" t="b">
            <v>0</v>
          </cell>
          <cell r="AB79" t="b">
            <v>0</v>
          </cell>
          <cell r="AC79" t="b">
            <v>0</v>
          </cell>
        </row>
        <row r="80">
          <cell r="Y80" t="b">
            <v>0</v>
          </cell>
          <cell r="Z80" t="b">
            <v>0</v>
          </cell>
          <cell r="AA80" t="b">
            <v>0</v>
          </cell>
          <cell r="AB80" t="b">
            <v>0</v>
          </cell>
          <cell r="AC80" t="b">
            <v>0</v>
          </cell>
        </row>
        <row r="81">
          <cell r="Y81" t="b">
            <v>0</v>
          </cell>
          <cell r="Z81" t="b">
            <v>0</v>
          </cell>
          <cell r="AA81" t="b">
            <v>0</v>
          </cell>
          <cell r="AB81" t="b">
            <v>0</v>
          </cell>
          <cell r="AC81" t="b">
            <v>0</v>
          </cell>
        </row>
        <row r="82">
          <cell r="Y82" t="b">
            <v>0</v>
          </cell>
          <cell r="Z82" t="b">
            <v>0</v>
          </cell>
          <cell r="AA82" t="b">
            <v>0</v>
          </cell>
          <cell r="AB82" t="b">
            <v>0</v>
          </cell>
          <cell r="AC82" t="b">
            <v>0</v>
          </cell>
        </row>
        <row r="83">
          <cell r="Y83" t="b">
            <v>0</v>
          </cell>
          <cell r="Z83" t="b">
            <v>0</v>
          </cell>
          <cell r="AA83" t="b">
            <v>0</v>
          </cell>
          <cell r="AB83" t="b">
            <v>0</v>
          </cell>
          <cell r="AC83" t="b">
            <v>0</v>
          </cell>
        </row>
        <row r="84">
          <cell r="Y84" t="b">
            <v>0</v>
          </cell>
          <cell r="Z84" t="b">
            <v>0</v>
          </cell>
          <cell r="AA84" t="b">
            <v>0</v>
          </cell>
          <cell r="AB84" t="b">
            <v>0</v>
          </cell>
          <cell r="AC84" t="b">
            <v>0</v>
          </cell>
        </row>
        <row r="85">
          <cell r="Y85" t="b">
            <v>0</v>
          </cell>
          <cell r="Z85" t="b">
            <v>0</v>
          </cell>
          <cell r="AA85" t="b">
            <v>0</v>
          </cell>
          <cell r="AB85" t="b">
            <v>0</v>
          </cell>
          <cell r="AC85" t="b">
            <v>0</v>
          </cell>
        </row>
        <row r="86">
          <cell r="Y86" t="b">
            <v>0</v>
          </cell>
          <cell r="Z86" t="b">
            <v>0</v>
          </cell>
          <cell r="AA86" t="b">
            <v>0</v>
          </cell>
          <cell r="AB86" t="b">
            <v>0</v>
          </cell>
          <cell r="AC86" t="b">
            <v>0</v>
          </cell>
        </row>
        <row r="87">
          <cell r="Y87" t="b">
            <v>0</v>
          </cell>
          <cell r="Z87" t="b">
            <v>0</v>
          </cell>
          <cell r="AA87" t="b">
            <v>0</v>
          </cell>
          <cell r="AB87" t="b">
            <v>0</v>
          </cell>
          <cell r="AC87" t="b">
            <v>0</v>
          </cell>
        </row>
        <row r="88">
          <cell r="Y88" t="b">
            <v>0</v>
          </cell>
          <cell r="Z88" t="b">
            <v>0</v>
          </cell>
          <cell r="AA88" t="b">
            <v>0</v>
          </cell>
          <cell r="AB88" t="b">
            <v>0</v>
          </cell>
          <cell r="AC88" t="b">
            <v>0</v>
          </cell>
        </row>
        <row r="89">
          <cell r="Y89" t="b">
            <v>0</v>
          </cell>
          <cell r="Z89" t="b">
            <v>0</v>
          </cell>
          <cell r="AA89" t="b">
            <v>0</v>
          </cell>
          <cell r="AB89" t="b">
            <v>0</v>
          </cell>
          <cell r="AC89" t="b">
            <v>0</v>
          </cell>
        </row>
        <row r="90">
          <cell r="Y90" t="b">
            <v>0</v>
          </cell>
          <cell r="Z90" t="b">
            <v>0</v>
          </cell>
          <cell r="AA90" t="b">
            <v>0</v>
          </cell>
          <cell r="AB90" t="b">
            <v>0</v>
          </cell>
          <cell r="AC90" t="b">
            <v>0</v>
          </cell>
        </row>
        <row r="91">
          <cell r="Y91" t="b">
            <v>0</v>
          </cell>
          <cell r="Z91" t="b">
            <v>0</v>
          </cell>
          <cell r="AA91" t="b">
            <v>0</v>
          </cell>
          <cell r="AB91" t="b">
            <v>0</v>
          </cell>
          <cell r="AC91" t="b">
            <v>0</v>
          </cell>
        </row>
        <row r="92">
          <cell r="Y92" t="b">
            <v>0</v>
          </cell>
          <cell r="Z92" t="b">
            <v>0</v>
          </cell>
          <cell r="AA92" t="b">
            <v>0</v>
          </cell>
          <cell r="AB92" t="b">
            <v>0</v>
          </cell>
          <cell r="AC92" t="b">
            <v>0</v>
          </cell>
        </row>
        <row r="93">
          <cell r="Y93" t="b">
            <v>0</v>
          </cell>
          <cell r="Z93" t="b">
            <v>0</v>
          </cell>
          <cell r="AA93" t="b">
            <v>0</v>
          </cell>
          <cell r="AB93" t="b">
            <v>0</v>
          </cell>
          <cell r="AC93" t="b">
            <v>0</v>
          </cell>
        </row>
        <row r="94">
          <cell r="Y94" t="b">
            <v>0</v>
          </cell>
          <cell r="Z94" t="b">
            <v>0</v>
          </cell>
          <cell r="AA94" t="b">
            <v>0</v>
          </cell>
          <cell r="AB94" t="b">
            <v>0</v>
          </cell>
          <cell r="AC94" t="b">
            <v>0</v>
          </cell>
        </row>
        <row r="95">
          <cell r="Y95" t="b">
            <v>0</v>
          </cell>
          <cell r="Z95" t="b">
            <v>0</v>
          </cell>
          <cell r="AA95" t="b">
            <v>0</v>
          </cell>
          <cell r="AB95" t="b">
            <v>0</v>
          </cell>
          <cell r="AC95" t="b">
            <v>0</v>
          </cell>
        </row>
        <row r="96">
          <cell r="Y96" t="b">
            <v>0</v>
          </cell>
          <cell r="Z96" t="b">
            <v>0</v>
          </cell>
          <cell r="AA96" t="b">
            <v>0</v>
          </cell>
          <cell r="AB96" t="b">
            <v>0</v>
          </cell>
          <cell r="AC96" t="b">
            <v>0</v>
          </cell>
        </row>
        <row r="97">
          <cell r="Y97" t="b">
            <v>0</v>
          </cell>
          <cell r="Z97" t="b">
            <v>0</v>
          </cell>
          <cell r="AA97" t="b">
            <v>0</v>
          </cell>
          <cell r="AB97" t="b">
            <v>0</v>
          </cell>
          <cell r="AC97" t="b">
            <v>0</v>
          </cell>
        </row>
        <row r="98">
          <cell r="Y98" t="b">
            <v>0</v>
          </cell>
          <cell r="Z98" t="b">
            <v>0</v>
          </cell>
          <cell r="AA98" t="b">
            <v>0</v>
          </cell>
          <cell r="AB98" t="b">
            <v>0</v>
          </cell>
          <cell r="AC98" t="b">
            <v>0</v>
          </cell>
        </row>
        <row r="99">
          <cell r="Y99" t="b">
            <v>0</v>
          </cell>
          <cell r="Z99" t="b">
            <v>0</v>
          </cell>
          <cell r="AA99" t="b">
            <v>0</v>
          </cell>
          <cell r="AB99" t="b">
            <v>0</v>
          </cell>
          <cell r="AC99" t="b">
            <v>0</v>
          </cell>
        </row>
        <row r="100">
          <cell r="Y100" t="b">
            <v>0</v>
          </cell>
          <cell r="Z100" t="b">
            <v>0</v>
          </cell>
          <cell r="AA100" t="b">
            <v>0</v>
          </cell>
          <cell r="AB100" t="b">
            <v>0</v>
          </cell>
          <cell r="AC100" t="b">
            <v>0</v>
          </cell>
        </row>
        <row r="101">
          <cell r="Y101" t="b">
            <v>0</v>
          </cell>
          <cell r="Z101" t="b">
            <v>0</v>
          </cell>
          <cell r="AA101" t="b">
            <v>0</v>
          </cell>
          <cell r="AB101" t="b">
            <v>0</v>
          </cell>
          <cell r="AC101" t="b">
            <v>0</v>
          </cell>
        </row>
        <row r="102">
          <cell r="Y102" t="b">
            <v>0</v>
          </cell>
          <cell r="Z102" t="b">
            <v>0</v>
          </cell>
          <cell r="AA102" t="b">
            <v>0</v>
          </cell>
          <cell r="AB102" t="b">
            <v>0</v>
          </cell>
          <cell r="AC102" t="b">
            <v>0</v>
          </cell>
        </row>
        <row r="103">
          <cell r="Y103" t="b">
            <v>0</v>
          </cell>
          <cell r="Z103" t="b">
            <v>0</v>
          </cell>
          <cell r="AA103" t="b">
            <v>0</v>
          </cell>
          <cell r="AB103" t="b">
            <v>0</v>
          </cell>
          <cell r="AC103" t="b">
            <v>0</v>
          </cell>
        </row>
        <row r="104">
          <cell r="Y104" t="b">
            <v>0</v>
          </cell>
          <cell r="Z104" t="b">
            <v>0</v>
          </cell>
          <cell r="AA104" t="b">
            <v>0</v>
          </cell>
          <cell r="AB104" t="b">
            <v>0</v>
          </cell>
          <cell r="AC104" t="b">
            <v>0</v>
          </cell>
        </row>
        <row r="105">
          <cell r="Y105" t="b">
            <v>0</v>
          </cell>
          <cell r="Z105" t="b">
            <v>0</v>
          </cell>
          <cell r="AA105" t="b">
            <v>0</v>
          </cell>
          <cell r="AB105" t="b">
            <v>0</v>
          </cell>
          <cell r="AC105" t="b">
            <v>0</v>
          </cell>
        </row>
        <row r="106">
          <cell r="Y106" t="b">
            <v>0</v>
          </cell>
          <cell r="Z106" t="b">
            <v>0</v>
          </cell>
          <cell r="AA106" t="b">
            <v>0</v>
          </cell>
          <cell r="AB106" t="b">
            <v>0</v>
          </cell>
          <cell r="AC106" t="b">
            <v>0</v>
          </cell>
        </row>
        <row r="107">
          <cell r="Y107" t="b">
            <v>0</v>
          </cell>
          <cell r="Z107" t="b">
            <v>0</v>
          </cell>
          <cell r="AA107" t="b">
            <v>0</v>
          </cell>
          <cell r="AB107" t="b">
            <v>0</v>
          </cell>
          <cell r="AC107" t="b">
            <v>0</v>
          </cell>
        </row>
        <row r="108">
          <cell r="Y108" t="b">
            <v>0</v>
          </cell>
          <cell r="Z108" t="b">
            <v>0</v>
          </cell>
          <cell r="AA108" t="b">
            <v>0</v>
          </cell>
          <cell r="AB108" t="b">
            <v>0</v>
          </cell>
          <cell r="AC108" t="b">
            <v>0</v>
          </cell>
        </row>
        <row r="109">
          <cell r="Y109" t="b">
            <v>0</v>
          </cell>
          <cell r="Z109" t="b">
            <v>0</v>
          </cell>
          <cell r="AA109" t="b">
            <v>0</v>
          </cell>
          <cell r="AB109" t="b">
            <v>0</v>
          </cell>
          <cell r="AC109" t="b">
            <v>0</v>
          </cell>
        </row>
        <row r="110">
          <cell r="Y110" t="b">
            <v>0</v>
          </cell>
          <cell r="Z110" t="b">
            <v>0</v>
          </cell>
          <cell r="AA110" t="b">
            <v>0</v>
          </cell>
          <cell r="AB110" t="b">
            <v>0</v>
          </cell>
          <cell r="AC110" t="b">
            <v>0</v>
          </cell>
        </row>
        <row r="111">
          <cell r="Y111" t="b">
            <v>0</v>
          </cell>
          <cell r="Z111" t="b">
            <v>0</v>
          </cell>
          <cell r="AA111" t="b">
            <v>0</v>
          </cell>
          <cell r="AB111" t="b">
            <v>0</v>
          </cell>
          <cell r="AC111" t="b">
            <v>0</v>
          </cell>
        </row>
        <row r="112">
          <cell r="Y112" t="b">
            <v>0</v>
          </cell>
          <cell r="Z112" t="b">
            <v>0</v>
          </cell>
          <cell r="AA112" t="b">
            <v>0</v>
          </cell>
          <cell r="AB112" t="b">
            <v>0</v>
          </cell>
          <cell r="AC112" t="b">
            <v>0</v>
          </cell>
        </row>
        <row r="113">
          <cell r="Y113" t="b">
            <v>0</v>
          </cell>
          <cell r="Z113" t="b">
            <v>0</v>
          </cell>
          <cell r="AA113" t="b">
            <v>0</v>
          </cell>
          <cell r="AB113" t="b">
            <v>0</v>
          </cell>
          <cell r="AC113" t="b">
            <v>0</v>
          </cell>
        </row>
        <row r="114">
          <cell r="Y114" t="b">
            <v>0</v>
          </cell>
          <cell r="Z114" t="b">
            <v>0</v>
          </cell>
          <cell r="AA114" t="b">
            <v>0</v>
          </cell>
          <cell r="AB114" t="b">
            <v>0</v>
          </cell>
          <cell r="AC114" t="b">
            <v>0</v>
          </cell>
        </row>
        <row r="115">
          <cell r="Y115" t="b">
            <v>0</v>
          </cell>
          <cell r="Z115" t="b">
            <v>0</v>
          </cell>
          <cell r="AA115" t="b">
            <v>0</v>
          </cell>
          <cell r="AB115" t="b">
            <v>0</v>
          </cell>
          <cell r="AC115" t="b">
            <v>0</v>
          </cell>
        </row>
        <row r="116">
          <cell r="Y116" t="b">
            <v>0</v>
          </cell>
          <cell r="Z116" t="b">
            <v>0</v>
          </cell>
          <cell r="AA116" t="b">
            <v>0</v>
          </cell>
          <cell r="AB116" t="b">
            <v>0</v>
          </cell>
          <cell r="AC116" t="b">
            <v>0</v>
          </cell>
        </row>
        <row r="117">
          <cell r="Y117" t="b">
            <v>0</v>
          </cell>
          <cell r="Z117" t="b">
            <v>0</v>
          </cell>
          <cell r="AA117" t="b">
            <v>0</v>
          </cell>
          <cell r="AB117" t="b">
            <v>0</v>
          </cell>
          <cell r="AC117" t="b">
            <v>0</v>
          </cell>
        </row>
        <row r="118">
          <cell r="Y118" t="b">
            <v>0</v>
          </cell>
          <cell r="Z118" t="b">
            <v>0</v>
          </cell>
          <cell r="AA118" t="b">
            <v>0</v>
          </cell>
          <cell r="AB118" t="b">
            <v>0</v>
          </cell>
          <cell r="AC118" t="b">
            <v>0</v>
          </cell>
        </row>
        <row r="119">
          <cell r="Y119" t="b">
            <v>0</v>
          </cell>
          <cell r="Z119" t="b">
            <v>0</v>
          </cell>
          <cell r="AA119" t="b">
            <v>0</v>
          </cell>
          <cell r="AB119" t="b">
            <v>0</v>
          </cell>
          <cell r="AC119" t="b">
            <v>0</v>
          </cell>
        </row>
        <row r="120">
          <cell r="Y120" t="b">
            <v>0</v>
          </cell>
          <cell r="Z120" t="b">
            <v>0</v>
          </cell>
          <cell r="AA120" t="b">
            <v>0</v>
          </cell>
          <cell r="AB120" t="b">
            <v>0</v>
          </cell>
          <cell r="AC120" t="b">
            <v>0</v>
          </cell>
        </row>
        <row r="121">
          <cell r="Y121" t="b">
            <v>0</v>
          </cell>
          <cell r="Z121" t="b">
            <v>0</v>
          </cell>
          <cell r="AA121" t="b">
            <v>0</v>
          </cell>
          <cell r="AB121" t="b">
            <v>0</v>
          </cell>
          <cell r="AC121" t="b">
            <v>0</v>
          </cell>
        </row>
        <row r="122">
          <cell r="Y122" t="b">
            <v>0</v>
          </cell>
          <cell r="Z122" t="b">
            <v>0</v>
          </cell>
          <cell r="AA122" t="b">
            <v>0</v>
          </cell>
          <cell r="AB122" t="b">
            <v>0</v>
          </cell>
          <cell r="AC122" t="b">
            <v>0</v>
          </cell>
        </row>
        <row r="123">
          <cell r="Y123" t="b">
            <v>0</v>
          </cell>
          <cell r="Z123" t="b">
            <v>0</v>
          </cell>
          <cell r="AA123" t="b">
            <v>0</v>
          </cell>
          <cell r="AB123" t="b">
            <v>0</v>
          </cell>
          <cell r="AC123" t="b">
            <v>0</v>
          </cell>
        </row>
        <row r="124">
          <cell r="Y124" t="b">
            <v>0</v>
          </cell>
          <cell r="Z124" t="b">
            <v>0</v>
          </cell>
          <cell r="AA124" t="b">
            <v>0</v>
          </cell>
          <cell r="AB124" t="b">
            <v>0</v>
          </cell>
          <cell r="AC124" t="b">
            <v>0</v>
          </cell>
        </row>
        <row r="125">
          <cell r="Y125" t="b">
            <v>0</v>
          </cell>
          <cell r="Z125" t="b">
            <v>0</v>
          </cell>
          <cell r="AA125" t="b">
            <v>0</v>
          </cell>
          <cell r="AB125" t="b">
            <v>0</v>
          </cell>
          <cell r="AC125" t="b">
            <v>0</v>
          </cell>
        </row>
        <row r="126">
          <cell r="Y126" t="b">
            <v>0</v>
          </cell>
          <cell r="Z126" t="b">
            <v>0</v>
          </cell>
          <cell r="AA126" t="b">
            <v>0</v>
          </cell>
          <cell r="AB126" t="b">
            <v>0</v>
          </cell>
          <cell r="AC126" t="b">
            <v>0</v>
          </cell>
        </row>
        <row r="127">
          <cell r="Y127" t="b">
            <v>0</v>
          </cell>
          <cell r="Z127" t="b">
            <v>0</v>
          </cell>
          <cell r="AA127" t="b">
            <v>0</v>
          </cell>
          <cell r="AB127" t="b">
            <v>0</v>
          </cell>
          <cell r="AC127" t="b">
            <v>0</v>
          </cell>
        </row>
        <row r="128">
          <cell r="Y128" t="b">
            <v>0</v>
          </cell>
          <cell r="Z128" t="b">
            <v>0</v>
          </cell>
          <cell r="AA128" t="b">
            <v>0</v>
          </cell>
          <cell r="AB128" t="b">
            <v>0</v>
          </cell>
          <cell r="AC128" t="b">
            <v>0</v>
          </cell>
        </row>
        <row r="129">
          <cell r="Y129" t="b">
            <v>0</v>
          </cell>
          <cell r="Z129" t="b">
            <v>0</v>
          </cell>
          <cell r="AA129" t="b">
            <v>0</v>
          </cell>
          <cell r="AB129" t="b">
            <v>0</v>
          </cell>
          <cell r="AC129" t="b">
            <v>0</v>
          </cell>
        </row>
        <row r="130">
          <cell r="Y130" t="b">
            <v>0</v>
          </cell>
          <cell r="Z130" t="b">
            <v>0</v>
          </cell>
          <cell r="AA130" t="b">
            <v>0</v>
          </cell>
          <cell r="AB130" t="b">
            <v>0</v>
          </cell>
          <cell r="AC130" t="b">
            <v>0</v>
          </cell>
        </row>
        <row r="131">
          <cell r="Y131" t="b">
            <v>0</v>
          </cell>
          <cell r="Z131" t="b">
            <v>0</v>
          </cell>
          <cell r="AA131" t="b">
            <v>0</v>
          </cell>
          <cell r="AB131" t="b">
            <v>0</v>
          </cell>
          <cell r="AC131" t="b">
            <v>0</v>
          </cell>
        </row>
        <row r="132">
          <cell r="Y132" t="b">
            <v>0</v>
          </cell>
          <cell r="Z132" t="b">
            <v>0</v>
          </cell>
          <cell r="AA132" t="b">
            <v>0</v>
          </cell>
          <cell r="AB132" t="b">
            <v>0</v>
          </cell>
          <cell r="AC132" t="b">
            <v>0</v>
          </cell>
        </row>
        <row r="133">
          <cell r="Y133" t="b">
            <v>0</v>
          </cell>
          <cell r="Z133" t="b">
            <v>0</v>
          </cell>
          <cell r="AA133" t="b">
            <v>0</v>
          </cell>
          <cell r="AB133" t="b">
            <v>0</v>
          </cell>
          <cell r="AC133" t="b">
            <v>0</v>
          </cell>
        </row>
        <row r="134">
          <cell r="Y134" t="b">
            <v>0</v>
          </cell>
          <cell r="Z134" t="b">
            <v>0</v>
          </cell>
          <cell r="AA134" t="b">
            <v>0</v>
          </cell>
          <cell r="AB134" t="b">
            <v>0</v>
          </cell>
          <cell r="AC134" t="b">
            <v>0</v>
          </cell>
        </row>
        <row r="135">
          <cell r="Y135" t="b">
            <v>0</v>
          </cell>
          <cell r="Z135" t="b">
            <v>0</v>
          </cell>
          <cell r="AA135" t="b">
            <v>0</v>
          </cell>
          <cell r="AB135" t="b">
            <v>0</v>
          </cell>
          <cell r="AC135" t="b">
            <v>0</v>
          </cell>
        </row>
        <row r="136">
          <cell r="Y136" t="b">
            <v>0</v>
          </cell>
          <cell r="Z136" t="b">
            <v>0</v>
          </cell>
          <cell r="AA136" t="b">
            <v>0</v>
          </cell>
          <cell r="AB136" t="b">
            <v>0</v>
          </cell>
          <cell r="AC136" t="b">
            <v>0</v>
          </cell>
        </row>
        <row r="137">
          <cell r="Y137" t="b">
            <v>0</v>
          </cell>
          <cell r="Z137" t="b">
            <v>0</v>
          </cell>
          <cell r="AA137" t="b">
            <v>0</v>
          </cell>
          <cell r="AB137" t="b">
            <v>0</v>
          </cell>
          <cell r="AC137" t="b">
            <v>0</v>
          </cell>
        </row>
        <row r="138">
          <cell r="Y138" t="b">
            <v>0</v>
          </cell>
          <cell r="Z138" t="b">
            <v>0</v>
          </cell>
          <cell r="AA138" t="b">
            <v>0</v>
          </cell>
          <cell r="AB138" t="b">
            <v>0</v>
          </cell>
          <cell r="AC138" t="b">
            <v>0</v>
          </cell>
        </row>
        <row r="139">
          <cell r="Y139" t="b">
            <v>0</v>
          </cell>
          <cell r="Z139" t="b">
            <v>0</v>
          </cell>
          <cell r="AA139" t="b">
            <v>0</v>
          </cell>
          <cell r="AB139" t="b">
            <v>0</v>
          </cell>
          <cell r="AC139" t="b">
            <v>0</v>
          </cell>
        </row>
        <row r="140">
          <cell r="Y140" t="b">
            <v>0</v>
          </cell>
          <cell r="Z140" t="b">
            <v>0</v>
          </cell>
          <cell r="AA140" t="b">
            <v>0</v>
          </cell>
          <cell r="AB140" t="b">
            <v>0</v>
          </cell>
          <cell r="AC140" t="b">
            <v>0</v>
          </cell>
        </row>
        <row r="141">
          <cell r="Y141" t="b">
            <v>0</v>
          </cell>
          <cell r="Z141" t="b">
            <v>0</v>
          </cell>
          <cell r="AA141" t="b">
            <v>0</v>
          </cell>
          <cell r="AB141" t="b">
            <v>0</v>
          </cell>
          <cell r="AC141" t="b">
            <v>0</v>
          </cell>
        </row>
        <row r="142">
          <cell r="Y142" t="b">
            <v>0</v>
          </cell>
          <cell r="Z142" t="b">
            <v>0</v>
          </cell>
          <cell r="AA142" t="b">
            <v>0</v>
          </cell>
          <cell r="AB142" t="b">
            <v>0</v>
          </cell>
          <cell r="AC142" t="b">
            <v>0</v>
          </cell>
        </row>
        <row r="143">
          <cell r="Y143" t="b">
            <v>0</v>
          </cell>
          <cell r="Z143" t="b">
            <v>0</v>
          </cell>
          <cell r="AA143" t="b">
            <v>0</v>
          </cell>
          <cell r="AB143" t="b">
            <v>0</v>
          </cell>
          <cell r="AC143" t="b">
            <v>0</v>
          </cell>
        </row>
        <row r="144">
          <cell r="Y144" t="b">
            <v>0</v>
          </cell>
          <cell r="Z144" t="b">
            <v>0</v>
          </cell>
          <cell r="AA144" t="b">
            <v>0</v>
          </cell>
          <cell r="AB144" t="b">
            <v>0</v>
          </cell>
          <cell r="AC144" t="b">
            <v>0</v>
          </cell>
        </row>
        <row r="145">
          <cell r="Y145" t="b">
            <v>0</v>
          </cell>
          <cell r="Z145" t="b">
            <v>0</v>
          </cell>
          <cell r="AA145" t="b">
            <v>0</v>
          </cell>
          <cell r="AB145" t="b">
            <v>0</v>
          </cell>
          <cell r="AC145" t="b">
            <v>0</v>
          </cell>
        </row>
        <row r="146">
          <cell r="Y146" t="b">
            <v>0</v>
          </cell>
          <cell r="Z146" t="b">
            <v>0</v>
          </cell>
          <cell r="AA146" t="b">
            <v>0</v>
          </cell>
          <cell r="AB146" t="b">
            <v>0</v>
          </cell>
          <cell r="AC146" t="b">
            <v>0</v>
          </cell>
        </row>
        <row r="147">
          <cell r="Y147" t="b">
            <v>0</v>
          </cell>
          <cell r="Z147" t="b">
            <v>0</v>
          </cell>
          <cell r="AA147" t="b">
            <v>0</v>
          </cell>
          <cell r="AB147" t="b">
            <v>0</v>
          </cell>
          <cell r="AC147" t="b">
            <v>0</v>
          </cell>
        </row>
        <row r="148">
          <cell r="Y148" t="b">
            <v>0</v>
          </cell>
          <cell r="Z148" t="b">
            <v>0</v>
          </cell>
          <cell r="AA148" t="b">
            <v>0</v>
          </cell>
          <cell r="AB148" t="b">
            <v>0</v>
          </cell>
          <cell r="AC148" t="b">
            <v>0</v>
          </cell>
        </row>
        <row r="149">
          <cell r="Y149" t="b">
            <v>0</v>
          </cell>
          <cell r="Z149" t="b">
            <v>0</v>
          </cell>
          <cell r="AA149" t="b">
            <v>0</v>
          </cell>
          <cell r="AB149" t="b">
            <v>0</v>
          </cell>
          <cell r="AC149" t="b">
            <v>0</v>
          </cell>
        </row>
        <row r="150">
          <cell r="Y150" t="b">
            <v>0</v>
          </cell>
          <cell r="Z150" t="b">
            <v>0</v>
          </cell>
          <cell r="AA150" t="b">
            <v>0</v>
          </cell>
          <cell r="AB150" t="b">
            <v>0</v>
          </cell>
          <cell r="AC150" t="b">
            <v>0</v>
          </cell>
        </row>
        <row r="151">
          <cell r="Y151" t="b">
            <v>0</v>
          </cell>
          <cell r="Z151" t="b">
            <v>0</v>
          </cell>
          <cell r="AA151" t="b">
            <v>0</v>
          </cell>
          <cell r="AB151" t="b">
            <v>0</v>
          </cell>
          <cell r="AC151" t="b">
            <v>0</v>
          </cell>
        </row>
        <row r="152">
          <cell r="Y152" t="b">
            <v>0</v>
          </cell>
          <cell r="Z152" t="b">
            <v>0</v>
          </cell>
          <cell r="AA152" t="b">
            <v>0</v>
          </cell>
          <cell r="AB152" t="b">
            <v>0</v>
          </cell>
          <cell r="AC152" t="b">
            <v>0</v>
          </cell>
        </row>
        <row r="153">
          <cell r="Y153" t="b">
            <v>0</v>
          </cell>
          <cell r="Z153" t="b">
            <v>0</v>
          </cell>
          <cell r="AA153" t="b">
            <v>0</v>
          </cell>
          <cell r="AB153" t="b">
            <v>0</v>
          </cell>
          <cell r="AC153" t="b">
            <v>0</v>
          </cell>
        </row>
        <row r="154">
          <cell r="Y154" t="b">
            <v>0</v>
          </cell>
          <cell r="Z154" t="b">
            <v>0</v>
          </cell>
          <cell r="AA154" t="b">
            <v>0</v>
          </cell>
          <cell r="AB154" t="b">
            <v>0</v>
          </cell>
          <cell r="AC154" t="b">
            <v>0</v>
          </cell>
        </row>
        <row r="155">
          <cell r="Y155" t="b">
            <v>0</v>
          </cell>
          <cell r="Z155" t="b">
            <v>0</v>
          </cell>
          <cell r="AA155" t="b">
            <v>0</v>
          </cell>
          <cell r="AB155" t="b">
            <v>0</v>
          </cell>
          <cell r="AC155" t="b">
            <v>0</v>
          </cell>
        </row>
        <row r="156">
          <cell r="Y156" t="b">
            <v>0</v>
          </cell>
          <cell r="Z156" t="b">
            <v>0</v>
          </cell>
          <cell r="AA156" t="b">
            <v>0</v>
          </cell>
          <cell r="AB156" t="b">
            <v>0</v>
          </cell>
          <cell r="AC156" t="b">
            <v>0</v>
          </cell>
        </row>
        <row r="157">
          <cell r="Y157" t="b">
            <v>0</v>
          </cell>
          <cell r="Z157" t="b">
            <v>0</v>
          </cell>
          <cell r="AA157" t="b">
            <v>0</v>
          </cell>
          <cell r="AB157" t="b">
            <v>0</v>
          </cell>
          <cell r="AC157" t="b">
            <v>0</v>
          </cell>
        </row>
        <row r="158">
          <cell r="Y158" t="b">
            <v>0</v>
          </cell>
          <cell r="Z158" t="b">
            <v>0</v>
          </cell>
          <cell r="AA158" t="b">
            <v>0</v>
          </cell>
          <cell r="AB158" t="b">
            <v>0</v>
          </cell>
          <cell r="AC158" t="b">
            <v>0</v>
          </cell>
        </row>
        <row r="159">
          <cell r="Y159" t="b">
            <v>0</v>
          </cell>
          <cell r="Z159" t="b">
            <v>0</v>
          </cell>
          <cell r="AA159" t="b">
            <v>0</v>
          </cell>
          <cell r="AB159" t="b">
            <v>0</v>
          </cell>
          <cell r="AC159" t="b">
            <v>0</v>
          </cell>
        </row>
        <row r="160">
          <cell r="Y160" t="b">
            <v>0</v>
          </cell>
          <cell r="Z160" t="b">
            <v>0</v>
          </cell>
          <cell r="AA160" t="b">
            <v>0</v>
          </cell>
          <cell r="AB160" t="b">
            <v>0</v>
          </cell>
          <cell r="AC160" t="b">
            <v>0</v>
          </cell>
        </row>
        <row r="161">
          <cell r="Y161" t="b">
            <v>0</v>
          </cell>
          <cell r="Z161" t="b">
            <v>0</v>
          </cell>
          <cell r="AA161" t="b">
            <v>0</v>
          </cell>
          <cell r="AB161" t="b">
            <v>0</v>
          </cell>
          <cell r="AC161" t="b">
            <v>0</v>
          </cell>
        </row>
        <row r="162">
          <cell r="Y162" t="b">
            <v>0</v>
          </cell>
          <cell r="Z162" t="b">
            <v>0</v>
          </cell>
          <cell r="AA162" t="b">
            <v>0</v>
          </cell>
          <cell r="AB162" t="b">
            <v>0</v>
          </cell>
          <cell r="AC162" t="b">
            <v>0</v>
          </cell>
        </row>
        <row r="163">
          <cell r="Y163" t="b">
            <v>0</v>
          </cell>
          <cell r="Z163" t="b">
            <v>0</v>
          </cell>
          <cell r="AA163" t="b">
            <v>0</v>
          </cell>
          <cell r="AB163" t="b">
            <v>0</v>
          </cell>
          <cell r="AC163" t="b">
            <v>0</v>
          </cell>
        </row>
        <row r="164">
          <cell r="Y164" t="b">
            <v>0</v>
          </cell>
          <cell r="Z164" t="b">
            <v>0</v>
          </cell>
          <cell r="AA164" t="b">
            <v>0</v>
          </cell>
          <cell r="AB164" t="b">
            <v>0</v>
          </cell>
          <cell r="AC164" t="b">
            <v>0</v>
          </cell>
        </row>
        <row r="165">
          <cell r="Y165" t="b">
            <v>0</v>
          </cell>
          <cell r="Z165" t="b">
            <v>0</v>
          </cell>
          <cell r="AA165" t="b">
            <v>0</v>
          </cell>
          <cell r="AB165" t="b">
            <v>0</v>
          </cell>
          <cell r="AC165" t="b">
            <v>0</v>
          </cell>
        </row>
        <row r="166">
          <cell r="Y166" t="b">
            <v>0</v>
          </cell>
          <cell r="Z166" t="b">
            <v>0</v>
          </cell>
          <cell r="AA166" t="b">
            <v>0</v>
          </cell>
          <cell r="AB166" t="b">
            <v>0</v>
          </cell>
          <cell r="AC166" t="b">
            <v>0</v>
          </cell>
        </row>
        <row r="167">
          <cell r="Y167" t="b">
            <v>0</v>
          </cell>
          <cell r="Z167" t="b">
            <v>0</v>
          </cell>
          <cell r="AA167" t="b">
            <v>0</v>
          </cell>
          <cell r="AB167" t="b">
            <v>0</v>
          </cell>
          <cell r="AC167" t="b">
            <v>0</v>
          </cell>
        </row>
        <row r="168">
          <cell r="Y168" t="b">
            <v>0</v>
          </cell>
          <cell r="Z168" t="b">
            <v>0</v>
          </cell>
          <cell r="AA168" t="b">
            <v>0</v>
          </cell>
          <cell r="AB168" t="b">
            <v>0</v>
          </cell>
          <cell r="AC168" t="b">
            <v>0</v>
          </cell>
        </row>
        <row r="169">
          <cell r="Y169" t="b">
            <v>0</v>
          </cell>
          <cell r="Z169" t="b">
            <v>0</v>
          </cell>
          <cell r="AA169" t="b">
            <v>0</v>
          </cell>
          <cell r="AB169" t="b">
            <v>0</v>
          </cell>
          <cell r="AC169" t="b">
            <v>0</v>
          </cell>
        </row>
        <row r="170">
          <cell r="Y170" t="b">
            <v>0</v>
          </cell>
          <cell r="Z170" t="b">
            <v>0</v>
          </cell>
          <cell r="AA170" t="b">
            <v>0</v>
          </cell>
          <cell r="AB170" t="b">
            <v>0</v>
          </cell>
          <cell r="AC170" t="b">
            <v>0</v>
          </cell>
        </row>
        <row r="171">
          <cell r="Y171" t="b">
            <v>0</v>
          </cell>
          <cell r="Z171" t="b">
            <v>0</v>
          </cell>
          <cell r="AA171" t="b">
            <v>0</v>
          </cell>
          <cell r="AB171" t="b">
            <v>0</v>
          </cell>
          <cell r="AC171" t="b">
            <v>0</v>
          </cell>
        </row>
        <row r="172">
          <cell r="Y172" t="b">
            <v>0</v>
          </cell>
          <cell r="Z172" t="b">
            <v>0</v>
          </cell>
          <cell r="AA172" t="b">
            <v>0</v>
          </cell>
          <cell r="AB172" t="b">
            <v>0</v>
          </cell>
          <cell r="AC172" t="b">
            <v>0</v>
          </cell>
        </row>
        <row r="173">
          <cell r="Y173" t="b">
            <v>0</v>
          </cell>
          <cell r="Z173" t="b">
            <v>0</v>
          </cell>
          <cell r="AA173" t="b">
            <v>0</v>
          </cell>
          <cell r="AB173" t="b">
            <v>0</v>
          </cell>
          <cell r="AC173" t="b">
            <v>0</v>
          </cell>
        </row>
        <row r="174">
          <cell r="Y174" t="b">
            <v>0</v>
          </cell>
          <cell r="Z174" t="b">
            <v>0</v>
          </cell>
          <cell r="AA174" t="b">
            <v>0</v>
          </cell>
          <cell r="AB174" t="b">
            <v>0</v>
          </cell>
          <cell r="AC174" t="b">
            <v>0</v>
          </cell>
        </row>
        <row r="175">
          <cell r="Y175" t="b">
            <v>0</v>
          </cell>
          <cell r="Z175" t="b">
            <v>0</v>
          </cell>
          <cell r="AA175" t="b">
            <v>0</v>
          </cell>
          <cell r="AB175" t="b">
            <v>0</v>
          </cell>
          <cell r="AC175" t="b">
            <v>0</v>
          </cell>
        </row>
        <row r="176">
          <cell r="Y176" t="b">
            <v>0</v>
          </cell>
          <cell r="Z176" t="b">
            <v>0</v>
          </cell>
          <cell r="AA176" t="b">
            <v>0</v>
          </cell>
          <cell r="AB176" t="b">
            <v>0</v>
          </cell>
          <cell r="AC176" t="b">
            <v>0</v>
          </cell>
        </row>
        <row r="177">
          <cell r="Y177" t="b">
            <v>0</v>
          </cell>
          <cell r="Z177" t="b">
            <v>0</v>
          </cell>
          <cell r="AA177" t="b">
            <v>0</v>
          </cell>
          <cell r="AB177" t="b">
            <v>0</v>
          </cell>
          <cell r="AC177" t="b">
            <v>0</v>
          </cell>
        </row>
        <row r="178">
          <cell r="Y178" t="b">
            <v>0</v>
          </cell>
          <cell r="Z178" t="b">
            <v>0</v>
          </cell>
          <cell r="AA178" t="b">
            <v>0</v>
          </cell>
          <cell r="AB178" t="b">
            <v>0</v>
          </cell>
          <cell r="AC178" t="b">
            <v>0</v>
          </cell>
        </row>
        <row r="179">
          <cell r="Y179" t="b">
            <v>0</v>
          </cell>
          <cell r="Z179" t="b">
            <v>0</v>
          </cell>
          <cell r="AA179" t="b">
            <v>0</v>
          </cell>
          <cell r="AB179" t="b">
            <v>0</v>
          </cell>
          <cell r="AC179" t="b">
            <v>0</v>
          </cell>
        </row>
        <row r="180">
          <cell r="Y180" t="b">
            <v>0</v>
          </cell>
          <cell r="Z180" t="b">
            <v>0</v>
          </cell>
          <cell r="AA180" t="b">
            <v>0</v>
          </cell>
          <cell r="AB180" t="b">
            <v>0</v>
          </cell>
          <cell r="AC180" t="b">
            <v>0</v>
          </cell>
        </row>
        <row r="181">
          <cell r="Y181" t="b">
            <v>0</v>
          </cell>
          <cell r="Z181" t="b">
            <v>0</v>
          </cell>
          <cell r="AA181" t="b">
            <v>0</v>
          </cell>
          <cell r="AB181" t="b">
            <v>0</v>
          </cell>
          <cell r="AC181" t="b">
            <v>0</v>
          </cell>
        </row>
        <row r="182">
          <cell r="Y182" t="b">
            <v>0</v>
          </cell>
          <cell r="Z182" t="b">
            <v>0</v>
          </cell>
          <cell r="AA182" t="b">
            <v>0</v>
          </cell>
          <cell r="AB182" t="b">
            <v>0</v>
          </cell>
          <cell r="AC182" t="b">
            <v>0</v>
          </cell>
        </row>
        <row r="183">
          <cell r="Y183" t="b">
            <v>0</v>
          </cell>
          <cell r="Z183" t="b">
            <v>0</v>
          </cell>
          <cell r="AA183" t="b">
            <v>0</v>
          </cell>
          <cell r="AB183" t="b">
            <v>0</v>
          </cell>
          <cell r="AC183" t="b">
            <v>0</v>
          </cell>
        </row>
        <row r="184">
          <cell r="Y184" t="b">
            <v>0</v>
          </cell>
          <cell r="Z184" t="b">
            <v>0</v>
          </cell>
          <cell r="AA184" t="b">
            <v>0</v>
          </cell>
          <cell r="AB184" t="b">
            <v>0</v>
          </cell>
          <cell r="AC184" t="b">
            <v>0</v>
          </cell>
        </row>
        <row r="185">
          <cell r="Y185" t="b">
            <v>0</v>
          </cell>
          <cell r="Z185" t="b">
            <v>0</v>
          </cell>
          <cell r="AA185" t="b">
            <v>0</v>
          </cell>
          <cell r="AB185" t="b">
            <v>0</v>
          </cell>
          <cell r="AC185" t="b">
            <v>0</v>
          </cell>
        </row>
        <row r="186">
          <cell r="Y186" t="b">
            <v>0</v>
          </cell>
          <cell r="Z186" t="b">
            <v>0</v>
          </cell>
          <cell r="AA186" t="b">
            <v>0</v>
          </cell>
          <cell r="AB186" t="b">
            <v>0</v>
          </cell>
          <cell r="AC186" t="b">
            <v>0</v>
          </cell>
        </row>
        <row r="187">
          <cell r="Y187" t="b">
            <v>0</v>
          </cell>
          <cell r="Z187" t="b">
            <v>0</v>
          </cell>
          <cell r="AA187" t="b">
            <v>0</v>
          </cell>
          <cell r="AB187" t="b">
            <v>0</v>
          </cell>
          <cell r="AC187" t="b">
            <v>0</v>
          </cell>
        </row>
        <row r="188">
          <cell r="Y188" t="b">
            <v>0</v>
          </cell>
          <cell r="Z188" t="b">
            <v>0</v>
          </cell>
          <cell r="AA188" t="b">
            <v>0</v>
          </cell>
          <cell r="AB188" t="b">
            <v>0</v>
          </cell>
          <cell r="AC188" t="b">
            <v>0</v>
          </cell>
        </row>
        <row r="189">
          <cell r="Y189" t="b">
            <v>0</v>
          </cell>
          <cell r="Z189" t="b">
            <v>0</v>
          </cell>
          <cell r="AA189" t="b">
            <v>0</v>
          </cell>
          <cell r="AB189" t="b">
            <v>0</v>
          </cell>
          <cell r="AC189" t="b">
            <v>0</v>
          </cell>
        </row>
        <row r="190">
          <cell r="Y190" t="b">
            <v>0</v>
          </cell>
          <cell r="Z190" t="b">
            <v>0</v>
          </cell>
          <cell r="AA190" t="b">
            <v>0</v>
          </cell>
          <cell r="AB190" t="b">
            <v>0</v>
          </cell>
          <cell r="AC190" t="b">
            <v>0</v>
          </cell>
        </row>
        <row r="191">
          <cell r="Y191" t="b">
            <v>0</v>
          </cell>
          <cell r="Z191" t="b">
            <v>0</v>
          </cell>
          <cell r="AA191" t="b">
            <v>0</v>
          </cell>
          <cell r="AB191" t="b">
            <v>0</v>
          </cell>
          <cell r="AC191" t="b">
            <v>0</v>
          </cell>
        </row>
        <row r="192">
          <cell r="Y192" t="b">
            <v>0</v>
          </cell>
          <cell r="Z192" t="b">
            <v>0</v>
          </cell>
          <cell r="AA192" t="b">
            <v>0</v>
          </cell>
          <cell r="AB192" t="b">
            <v>0</v>
          </cell>
          <cell r="AC192" t="b">
            <v>0</v>
          </cell>
        </row>
        <row r="193">
          <cell r="Y193" t="b">
            <v>0</v>
          </cell>
          <cell r="Z193" t="b">
            <v>0</v>
          </cell>
          <cell r="AA193" t="b">
            <v>0</v>
          </cell>
          <cell r="AB193" t="b">
            <v>0</v>
          </cell>
          <cell r="AC193" t="b">
            <v>0</v>
          </cell>
        </row>
        <row r="194">
          <cell r="Y194" t="b">
            <v>0</v>
          </cell>
          <cell r="Z194" t="b">
            <v>0</v>
          </cell>
          <cell r="AA194" t="b">
            <v>0</v>
          </cell>
          <cell r="AB194" t="b">
            <v>0</v>
          </cell>
          <cell r="AC194" t="b">
            <v>0</v>
          </cell>
        </row>
        <row r="195">
          <cell r="Y195" t="b">
            <v>0</v>
          </cell>
          <cell r="Z195" t="b">
            <v>0</v>
          </cell>
          <cell r="AA195" t="b">
            <v>0</v>
          </cell>
          <cell r="AB195" t="b">
            <v>0</v>
          </cell>
          <cell r="AC195" t="b">
            <v>0</v>
          </cell>
        </row>
        <row r="196">
          <cell r="Y196" t="b">
            <v>0</v>
          </cell>
          <cell r="Z196" t="b">
            <v>0</v>
          </cell>
          <cell r="AA196" t="b">
            <v>0</v>
          </cell>
          <cell r="AB196" t="b">
            <v>0</v>
          </cell>
          <cell r="AC196" t="b">
            <v>0</v>
          </cell>
        </row>
        <row r="197">
          <cell r="Y197" t="b">
            <v>0</v>
          </cell>
          <cell r="Z197" t="b">
            <v>0</v>
          </cell>
          <cell r="AA197" t="b">
            <v>0</v>
          </cell>
          <cell r="AB197" t="b">
            <v>0</v>
          </cell>
          <cell r="AC197" t="b">
            <v>0</v>
          </cell>
        </row>
        <row r="198">
          <cell r="Y198" t="b">
            <v>0</v>
          </cell>
          <cell r="Z198" t="b">
            <v>0</v>
          </cell>
          <cell r="AA198" t="b">
            <v>0</v>
          </cell>
          <cell r="AB198" t="b">
            <v>0</v>
          </cell>
          <cell r="AC198" t="b">
            <v>0</v>
          </cell>
        </row>
        <row r="199">
          <cell r="Y199" t="b">
            <v>0</v>
          </cell>
          <cell r="Z199" t="b">
            <v>0</v>
          </cell>
          <cell r="AA199" t="b">
            <v>0</v>
          </cell>
          <cell r="AB199" t="b">
            <v>0</v>
          </cell>
          <cell r="AC199" t="b">
            <v>0</v>
          </cell>
        </row>
        <row r="200">
          <cell r="Y200" t="b">
            <v>0</v>
          </cell>
          <cell r="Z200" t="b">
            <v>0</v>
          </cell>
          <cell r="AA200" t="b">
            <v>0</v>
          </cell>
          <cell r="AB200" t="b">
            <v>0</v>
          </cell>
          <cell r="AC200" t="b">
            <v>0</v>
          </cell>
        </row>
        <row r="201">
          <cell r="Y201" t="b">
            <v>0</v>
          </cell>
          <cell r="Z201" t="b">
            <v>0</v>
          </cell>
          <cell r="AA201" t="b">
            <v>0</v>
          </cell>
          <cell r="AB201" t="b">
            <v>0</v>
          </cell>
          <cell r="AC201" t="b">
            <v>0</v>
          </cell>
        </row>
        <row r="202">
          <cell r="Y202" t="b">
            <v>0</v>
          </cell>
          <cell r="Z202" t="b">
            <v>0</v>
          </cell>
          <cell r="AA202" t="b">
            <v>0</v>
          </cell>
          <cell r="AB202" t="b">
            <v>0</v>
          </cell>
          <cell r="AC202" t="b">
            <v>0</v>
          </cell>
        </row>
        <row r="203">
          <cell r="Y203" t="b">
            <v>0</v>
          </cell>
          <cell r="Z203" t="b">
            <v>0</v>
          </cell>
          <cell r="AA203" t="b">
            <v>0</v>
          </cell>
          <cell r="AB203" t="b">
            <v>0</v>
          </cell>
          <cell r="AC203" t="b">
            <v>0</v>
          </cell>
        </row>
        <row r="204">
          <cell r="Y204" t="b">
            <v>0</v>
          </cell>
          <cell r="Z204" t="b">
            <v>0</v>
          </cell>
          <cell r="AA204" t="b">
            <v>0</v>
          </cell>
          <cell r="AB204" t="b">
            <v>0</v>
          </cell>
          <cell r="AC204" t="b">
            <v>0</v>
          </cell>
        </row>
        <row r="205">
          <cell r="Y205" t="b">
            <v>0</v>
          </cell>
          <cell r="Z205" t="b">
            <v>0</v>
          </cell>
          <cell r="AA205" t="b">
            <v>0</v>
          </cell>
          <cell r="AB205" t="b">
            <v>0</v>
          </cell>
          <cell r="AC205" t="b">
            <v>0</v>
          </cell>
        </row>
        <row r="206">
          <cell r="Y206" t="b">
            <v>0</v>
          </cell>
          <cell r="Z206" t="b">
            <v>0</v>
          </cell>
          <cell r="AA206" t="b">
            <v>0</v>
          </cell>
          <cell r="AB206" t="b">
            <v>0</v>
          </cell>
          <cell r="AC206" t="b">
            <v>0</v>
          </cell>
        </row>
        <row r="207">
          <cell r="Y207" t="b">
            <v>0</v>
          </cell>
          <cell r="Z207" t="b">
            <v>0</v>
          </cell>
          <cell r="AA207" t="b">
            <v>0</v>
          </cell>
          <cell r="AB207" t="b">
            <v>0</v>
          </cell>
          <cell r="AC207" t="b">
            <v>0</v>
          </cell>
        </row>
        <row r="208">
          <cell r="Y208" t="b">
            <v>0</v>
          </cell>
          <cell r="Z208" t="b">
            <v>0</v>
          </cell>
          <cell r="AA208" t="b">
            <v>0</v>
          </cell>
          <cell r="AB208" t="b">
            <v>0</v>
          </cell>
          <cell r="AC208" t="b">
            <v>0</v>
          </cell>
        </row>
        <row r="209">
          <cell r="Y209" t="b">
            <v>0</v>
          </cell>
          <cell r="Z209" t="b">
            <v>0</v>
          </cell>
          <cell r="AA209" t="b">
            <v>0</v>
          </cell>
          <cell r="AB209" t="b">
            <v>0</v>
          </cell>
          <cell r="AC209" t="b">
            <v>0</v>
          </cell>
        </row>
        <row r="210">
          <cell r="Y210" t="b">
            <v>0</v>
          </cell>
          <cell r="Z210" t="b">
            <v>0</v>
          </cell>
          <cell r="AA210" t="b">
            <v>0</v>
          </cell>
          <cell r="AB210" t="b">
            <v>0</v>
          </cell>
          <cell r="AC210" t="b">
            <v>0</v>
          </cell>
        </row>
        <row r="211">
          <cell r="Y211" t="b">
            <v>0</v>
          </cell>
          <cell r="Z211" t="b">
            <v>0</v>
          </cell>
          <cell r="AA211" t="b">
            <v>0</v>
          </cell>
          <cell r="AB211" t="b">
            <v>0</v>
          </cell>
          <cell r="AC211" t="b">
            <v>0</v>
          </cell>
        </row>
        <row r="212">
          <cell r="Y212" t="b">
            <v>0</v>
          </cell>
          <cell r="Z212" t="b">
            <v>0</v>
          </cell>
          <cell r="AA212" t="b">
            <v>0</v>
          </cell>
          <cell r="AB212" t="b">
            <v>0</v>
          </cell>
          <cell r="AC212" t="b">
            <v>0</v>
          </cell>
        </row>
        <row r="213">
          <cell r="Y213" t="b">
            <v>0</v>
          </cell>
          <cell r="Z213" t="b">
            <v>0</v>
          </cell>
          <cell r="AA213" t="b">
            <v>0</v>
          </cell>
          <cell r="AB213" t="b">
            <v>0</v>
          </cell>
          <cell r="AC213" t="b">
            <v>0</v>
          </cell>
        </row>
        <row r="214">
          <cell r="Y214" t="b">
            <v>0</v>
          </cell>
          <cell r="Z214" t="b">
            <v>0</v>
          </cell>
          <cell r="AA214" t="b">
            <v>0</v>
          </cell>
          <cell r="AB214" t="b">
            <v>0</v>
          </cell>
          <cell r="AC214" t="b">
            <v>0</v>
          </cell>
        </row>
        <row r="215">
          <cell r="Y215" t="b">
            <v>0</v>
          </cell>
          <cell r="Z215" t="b">
            <v>0</v>
          </cell>
          <cell r="AA215" t="b">
            <v>0</v>
          </cell>
          <cell r="AB215" t="b">
            <v>0</v>
          </cell>
          <cell r="AC215" t="b">
            <v>0</v>
          </cell>
        </row>
        <row r="216">
          <cell r="Y216" t="b">
            <v>0</v>
          </cell>
          <cell r="Z216" t="b">
            <v>0</v>
          </cell>
          <cell r="AA216" t="b">
            <v>0</v>
          </cell>
          <cell r="AB216" t="b">
            <v>0</v>
          </cell>
          <cell r="AC216" t="b">
            <v>0</v>
          </cell>
        </row>
        <row r="217">
          <cell r="Y217" t="b">
            <v>0</v>
          </cell>
          <cell r="Z217" t="b">
            <v>0</v>
          </cell>
          <cell r="AA217" t="b">
            <v>0</v>
          </cell>
          <cell r="AB217" t="b">
            <v>0</v>
          </cell>
          <cell r="AC217" t="b">
            <v>0</v>
          </cell>
        </row>
        <row r="218">
          <cell r="Y218" t="b">
            <v>0</v>
          </cell>
          <cell r="Z218" t="b">
            <v>0</v>
          </cell>
          <cell r="AA218" t="b">
            <v>0</v>
          </cell>
          <cell r="AB218" t="b">
            <v>0</v>
          </cell>
          <cell r="AC218" t="b">
            <v>0</v>
          </cell>
        </row>
        <row r="219">
          <cell r="Y219" t="b">
            <v>0</v>
          </cell>
          <cell r="Z219" t="b">
            <v>0</v>
          </cell>
          <cell r="AA219" t="b">
            <v>0</v>
          </cell>
          <cell r="AB219" t="b">
            <v>0</v>
          </cell>
          <cell r="AC219" t="b">
            <v>0</v>
          </cell>
        </row>
        <row r="220">
          <cell r="Y220" t="b">
            <v>0</v>
          </cell>
          <cell r="Z220" t="b">
            <v>0</v>
          </cell>
          <cell r="AA220" t="b">
            <v>0</v>
          </cell>
          <cell r="AB220" t="b">
            <v>0</v>
          </cell>
          <cell r="AC220" t="b">
            <v>0</v>
          </cell>
        </row>
        <row r="221">
          <cell r="Y221" t="b">
            <v>0</v>
          </cell>
          <cell r="Z221" t="b">
            <v>0</v>
          </cell>
          <cell r="AA221" t="b">
            <v>0</v>
          </cell>
          <cell r="AB221" t="b">
            <v>0</v>
          </cell>
          <cell r="AC221" t="b">
            <v>0</v>
          </cell>
        </row>
        <row r="222">
          <cell r="Y222" t="b">
            <v>0</v>
          </cell>
          <cell r="Z222" t="b">
            <v>0</v>
          </cell>
          <cell r="AA222" t="b">
            <v>0</v>
          </cell>
          <cell r="AB222" t="b">
            <v>0</v>
          </cell>
          <cell r="AC222" t="b">
            <v>0</v>
          </cell>
        </row>
        <row r="223">
          <cell r="Y223" t="b">
            <v>0</v>
          </cell>
          <cell r="Z223" t="b">
            <v>0</v>
          </cell>
          <cell r="AA223" t="b">
            <v>0</v>
          </cell>
          <cell r="AB223" t="b">
            <v>0</v>
          </cell>
          <cell r="AC223" t="b">
            <v>0</v>
          </cell>
        </row>
        <row r="224">
          <cell r="Y224" t="b">
            <v>0</v>
          </cell>
          <cell r="Z224" t="b">
            <v>0</v>
          </cell>
          <cell r="AA224" t="b">
            <v>0</v>
          </cell>
          <cell r="AB224" t="b">
            <v>0</v>
          </cell>
          <cell r="AC224" t="b">
            <v>0</v>
          </cell>
        </row>
        <row r="225">
          <cell r="Y225" t="b">
            <v>0</v>
          </cell>
          <cell r="Z225" t="b">
            <v>0</v>
          </cell>
          <cell r="AA225" t="b">
            <v>0</v>
          </cell>
          <cell r="AB225" t="b">
            <v>0</v>
          </cell>
          <cell r="AC225" t="b">
            <v>0</v>
          </cell>
        </row>
        <row r="226">
          <cell r="Y226" t="b">
            <v>0</v>
          </cell>
          <cell r="Z226" t="b">
            <v>0</v>
          </cell>
          <cell r="AA226" t="b">
            <v>0</v>
          </cell>
          <cell r="AB226" t="b">
            <v>0</v>
          </cell>
          <cell r="AC226" t="b">
            <v>0</v>
          </cell>
        </row>
        <row r="227">
          <cell r="Y227" t="b">
            <v>0</v>
          </cell>
          <cell r="Z227" t="b">
            <v>0</v>
          </cell>
          <cell r="AA227" t="b">
            <v>0</v>
          </cell>
          <cell r="AB227" t="b">
            <v>0</v>
          </cell>
          <cell r="AC227" t="b">
            <v>0</v>
          </cell>
        </row>
        <row r="228">
          <cell r="Y228" t="b">
            <v>0</v>
          </cell>
          <cell r="Z228" t="b">
            <v>0</v>
          </cell>
          <cell r="AA228" t="b">
            <v>0</v>
          </cell>
          <cell r="AB228" t="b">
            <v>0</v>
          </cell>
          <cell r="AC228" t="b">
            <v>0</v>
          </cell>
        </row>
        <row r="229">
          <cell r="Y229" t="b">
            <v>0</v>
          </cell>
          <cell r="Z229" t="b">
            <v>0</v>
          </cell>
          <cell r="AA229" t="b">
            <v>0</v>
          </cell>
          <cell r="AB229" t="b">
            <v>0</v>
          </cell>
          <cell r="AC229" t="b">
            <v>0</v>
          </cell>
        </row>
        <row r="230">
          <cell r="Y230" t="b">
            <v>0</v>
          </cell>
          <cell r="Z230" t="b">
            <v>0</v>
          </cell>
          <cell r="AA230" t="b">
            <v>0</v>
          </cell>
          <cell r="AB230" t="b">
            <v>0</v>
          </cell>
          <cell r="AC230" t="b">
            <v>0</v>
          </cell>
        </row>
        <row r="231">
          <cell r="Y231" t="b">
            <v>0</v>
          </cell>
          <cell r="Z231" t="b">
            <v>0</v>
          </cell>
          <cell r="AA231" t="b">
            <v>0</v>
          </cell>
          <cell r="AB231" t="b">
            <v>0</v>
          </cell>
          <cell r="AC231" t="b">
            <v>0</v>
          </cell>
        </row>
        <row r="232">
          <cell r="Y232" t="b">
            <v>0</v>
          </cell>
          <cell r="Z232" t="b">
            <v>0</v>
          </cell>
          <cell r="AA232" t="b">
            <v>0</v>
          </cell>
          <cell r="AB232" t="b">
            <v>0</v>
          </cell>
          <cell r="AC232" t="b">
            <v>0</v>
          </cell>
        </row>
        <row r="233">
          <cell r="Y233" t="b">
            <v>0</v>
          </cell>
          <cell r="Z233" t="b">
            <v>0</v>
          </cell>
          <cell r="AA233" t="b">
            <v>0</v>
          </cell>
          <cell r="AB233" t="b">
            <v>0</v>
          </cell>
          <cell r="AC233" t="b">
            <v>0</v>
          </cell>
        </row>
        <row r="234">
          <cell r="Y234" t="b">
            <v>0</v>
          </cell>
          <cell r="Z234" t="b">
            <v>0</v>
          </cell>
          <cell r="AA234" t="b">
            <v>0</v>
          </cell>
          <cell r="AB234" t="b">
            <v>0</v>
          </cell>
          <cell r="AC234" t="b">
            <v>0</v>
          </cell>
        </row>
        <row r="235">
          <cell r="Y235" t="b">
            <v>0</v>
          </cell>
          <cell r="Z235" t="b">
            <v>0</v>
          </cell>
          <cell r="AA235" t="b">
            <v>0</v>
          </cell>
          <cell r="AB235" t="b">
            <v>0</v>
          </cell>
          <cell r="AC235" t="b">
            <v>0</v>
          </cell>
        </row>
        <row r="236">
          <cell r="Y236" t="b">
            <v>0</v>
          </cell>
          <cell r="Z236" t="b">
            <v>0</v>
          </cell>
          <cell r="AA236" t="b">
            <v>0</v>
          </cell>
          <cell r="AB236" t="b">
            <v>0</v>
          </cell>
          <cell r="AC236" t="b">
            <v>0</v>
          </cell>
        </row>
        <row r="237">
          <cell r="Y237" t="b">
            <v>0</v>
          </cell>
          <cell r="Z237" t="b">
            <v>0</v>
          </cell>
          <cell r="AA237" t="b">
            <v>0</v>
          </cell>
          <cell r="AB237" t="b">
            <v>0</v>
          </cell>
          <cell r="AC237" t="b">
            <v>0</v>
          </cell>
        </row>
        <row r="238">
          <cell r="Y238" t="b">
            <v>0</v>
          </cell>
          <cell r="Z238" t="b">
            <v>0</v>
          </cell>
          <cell r="AA238" t="b">
            <v>0</v>
          </cell>
          <cell r="AB238" t="b">
            <v>0</v>
          </cell>
          <cell r="AC238" t="b">
            <v>0</v>
          </cell>
        </row>
        <row r="239">
          <cell r="Y239" t="b">
            <v>0</v>
          </cell>
          <cell r="Z239" t="b">
            <v>0</v>
          </cell>
          <cell r="AA239" t="b">
            <v>0</v>
          </cell>
          <cell r="AB239" t="b">
            <v>0</v>
          </cell>
          <cell r="AC239" t="b">
            <v>0</v>
          </cell>
        </row>
        <row r="240">
          <cell r="Y240" t="b">
            <v>0</v>
          </cell>
          <cell r="Z240" t="b">
            <v>0</v>
          </cell>
          <cell r="AA240" t="b">
            <v>0</v>
          </cell>
          <cell r="AB240" t="b">
            <v>0</v>
          </cell>
          <cell r="AC240" t="b">
            <v>0</v>
          </cell>
        </row>
        <row r="241">
          <cell r="Y241" t="b">
            <v>0</v>
          </cell>
          <cell r="Z241" t="b">
            <v>0</v>
          </cell>
          <cell r="AA241" t="b">
            <v>0</v>
          </cell>
          <cell r="AB241" t="b">
            <v>0</v>
          </cell>
          <cell r="AC241" t="b">
            <v>0</v>
          </cell>
        </row>
        <row r="242">
          <cell r="Y242" t="b">
            <v>0</v>
          </cell>
          <cell r="Z242" t="b">
            <v>0</v>
          </cell>
          <cell r="AA242" t="b">
            <v>0</v>
          </cell>
          <cell r="AB242" t="b">
            <v>0</v>
          </cell>
          <cell r="AC242" t="b">
            <v>0</v>
          </cell>
        </row>
        <row r="243">
          <cell r="Y243" t="b">
            <v>0</v>
          </cell>
          <cell r="Z243" t="b">
            <v>0</v>
          </cell>
          <cell r="AA243" t="b">
            <v>0</v>
          </cell>
          <cell r="AB243" t="b">
            <v>0</v>
          </cell>
          <cell r="AC243" t="b">
            <v>0</v>
          </cell>
        </row>
        <row r="244">
          <cell r="Y244" t="b">
            <v>0</v>
          </cell>
          <cell r="Z244" t="b">
            <v>0</v>
          </cell>
          <cell r="AA244" t="b">
            <v>0</v>
          </cell>
          <cell r="AB244" t="b">
            <v>0</v>
          </cell>
          <cell r="AC244" t="b">
            <v>0</v>
          </cell>
        </row>
        <row r="245">
          <cell r="Y245" t="b">
            <v>0</v>
          </cell>
          <cell r="Z245" t="b">
            <v>0</v>
          </cell>
          <cell r="AA245" t="b">
            <v>0</v>
          </cell>
          <cell r="AB245" t="b">
            <v>0</v>
          </cell>
          <cell r="AC245" t="b">
            <v>0</v>
          </cell>
        </row>
        <row r="246">
          <cell r="Y246" t="b">
            <v>0</v>
          </cell>
          <cell r="Z246" t="b">
            <v>0</v>
          </cell>
          <cell r="AA246" t="b">
            <v>0</v>
          </cell>
          <cell r="AB246" t="b">
            <v>0</v>
          </cell>
          <cell r="AC246" t="b">
            <v>0</v>
          </cell>
        </row>
        <row r="247">
          <cell r="Y247" t="b">
            <v>0</v>
          </cell>
          <cell r="Z247" t="b">
            <v>0</v>
          </cell>
          <cell r="AA247" t="b">
            <v>0</v>
          </cell>
          <cell r="AB247" t="b">
            <v>0</v>
          </cell>
          <cell r="AC247" t="b">
            <v>0</v>
          </cell>
        </row>
        <row r="248">
          <cell r="Y248" t="b">
            <v>0</v>
          </cell>
          <cell r="Z248" t="b">
            <v>0</v>
          </cell>
          <cell r="AA248" t="b">
            <v>0</v>
          </cell>
          <cell r="AB248" t="b">
            <v>0</v>
          </cell>
          <cell r="AC248" t="b">
            <v>0</v>
          </cell>
        </row>
        <row r="249">
          <cell r="Y249" t="b">
            <v>0</v>
          </cell>
          <cell r="Z249" t="b">
            <v>0</v>
          </cell>
          <cell r="AA249" t="b">
            <v>0</v>
          </cell>
          <cell r="AB249" t="b">
            <v>0</v>
          </cell>
          <cell r="AC249" t="b">
            <v>0</v>
          </cell>
        </row>
        <row r="250">
          <cell r="Y250" t="b">
            <v>0</v>
          </cell>
          <cell r="Z250" t="b">
            <v>0</v>
          </cell>
          <cell r="AA250" t="b">
            <v>0</v>
          </cell>
          <cell r="AB250" t="b">
            <v>0</v>
          </cell>
          <cell r="AC250" t="b">
            <v>0</v>
          </cell>
        </row>
        <row r="251">
          <cell r="Y251" t="b">
            <v>0</v>
          </cell>
          <cell r="Z251" t="b">
            <v>0</v>
          </cell>
          <cell r="AA251" t="b">
            <v>0</v>
          </cell>
          <cell r="AB251" t="b">
            <v>0</v>
          </cell>
          <cell r="AC251" t="b">
            <v>0</v>
          </cell>
        </row>
        <row r="252">
          <cell r="Y252" t="b">
            <v>0</v>
          </cell>
          <cell r="Z252" t="b">
            <v>0</v>
          </cell>
          <cell r="AA252" t="b">
            <v>0</v>
          </cell>
          <cell r="AB252" t="b">
            <v>0</v>
          </cell>
          <cell r="AC252" t="b">
            <v>0</v>
          </cell>
        </row>
        <row r="253">
          <cell r="Y253" t="b">
            <v>0</v>
          </cell>
          <cell r="Z253" t="b">
            <v>0</v>
          </cell>
          <cell r="AA253" t="b">
            <v>0</v>
          </cell>
          <cell r="AB253" t="b">
            <v>0</v>
          </cell>
          <cell r="AC253" t="b">
            <v>0</v>
          </cell>
        </row>
        <row r="254">
          <cell r="Y254" t="b">
            <v>0</v>
          </cell>
          <cell r="Z254" t="b">
            <v>0</v>
          </cell>
          <cell r="AA254" t="b">
            <v>0</v>
          </cell>
          <cell r="AB254" t="b">
            <v>0</v>
          </cell>
          <cell r="AC254" t="b">
            <v>0</v>
          </cell>
        </row>
        <row r="255">
          <cell r="Y255" t="b">
            <v>0</v>
          </cell>
          <cell r="Z255" t="b">
            <v>0</v>
          </cell>
          <cell r="AA255" t="b">
            <v>0</v>
          </cell>
          <cell r="AB255" t="b">
            <v>0</v>
          </cell>
          <cell r="AC255" t="b">
            <v>0</v>
          </cell>
        </row>
        <row r="256">
          <cell r="Y256" t="b">
            <v>0</v>
          </cell>
          <cell r="Z256" t="b">
            <v>0</v>
          </cell>
          <cell r="AA256" t="b">
            <v>0</v>
          </cell>
          <cell r="AB256" t="b">
            <v>0</v>
          </cell>
          <cell r="AC256" t="b">
            <v>0</v>
          </cell>
        </row>
        <row r="257">
          <cell r="Y257" t="b">
            <v>0</v>
          </cell>
          <cell r="Z257" t="b">
            <v>0</v>
          </cell>
          <cell r="AA257" t="b">
            <v>0</v>
          </cell>
          <cell r="AB257" t="b">
            <v>0</v>
          </cell>
          <cell r="AC257" t="b">
            <v>0</v>
          </cell>
        </row>
        <row r="258">
          <cell r="Y258" t="b">
            <v>0</v>
          </cell>
          <cell r="Z258" t="b">
            <v>0</v>
          </cell>
          <cell r="AA258" t="b">
            <v>0</v>
          </cell>
          <cell r="AB258" t="b">
            <v>0</v>
          </cell>
          <cell r="AC258" t="b">
            <v>0</v>
          </cell>
        </row>
        <row r="259">
          <cell r="Y259" t="b">
            <v>0</v>
          </cell>
          <cell r="Z259" t="b">
            <v>0</v>
          </cell>
          <cell r="AA259" t="b">
            <v>0</v>
          </cell>
          <cell r="AB259" t="b">
            <v>0</v>
          </cell>
          <cell r="AC259" t="b">
            <v>0</v>
          </cell>
        </row>
        <row r="260">
          <cell r="Y260" t="b">
            <v>0</v>
          </cell>
          <cell r="Z260" t="b">
            <v>0</v>
          </cell>
          <cell r="AA260" t="b">
            <v>0</v>
          </cell>
          <cell r="AB260" t="b">
            <v>0</v>
          </cell>
          <cell r="AC260" t="b">
            <v>0</v>
          </cell>
        </row>
        <row r="261">
          <cell r="Y261" t="b">
            <v>0</v>
          </cell>
          <cell r="Z261" t="b">
            <v>0</v>
          </cell>
          <cell r="AA261" t="b">
            <v>0</v>
          </cell>
          <cell r="AB261" t="b">
            <v>0</v>
          </cell>
          <cell r="AC261" t="b">
            <v>0</v>
          </cell>
        </row>
        <row r="262">
          <cell r="Y262" t="b">
            <v>0</v>
          </cell>
          <cell r="Z262" t="b">
            <v>0</v>
          </cell>
          <cell r="AA262" t="b">
            <v>0</v>
          </cell>
          <cell r="AB262" t="b">
            <v>0</v>
          </cell>
          <cell r="AC262" t="b">
            <v>0</v>
          </cell>
        </row>
        <row r="263">
          <cell r="Y263" t="b">
            <v>0</v>
          </cell>
          <cell r="Z263" t="b">
            <v>0</v>
          </cell>
          <cell r="AA263" t="b">
            <v>0</v>
          </cell>
          <cell r="AB263" t="b">
            <v>0</v>
          </cell>
          <cell r="AC263" t="b">
            <v>0</v>
          </cell>
        </row>
        <row r="264">
          <cell r="Y264" t="b">
            <v>0</v>
          </cell>
          <cell r="Z264" t="b">
            <v>0</v>
          </cell>
          <cell r="AA264" t="b">
            <v>0</v>
          </cell>
          <cell r="AB264" t="b">
            <v>0</v>
          </cell>
          <cell r="AC264" t="b">
            <v>0</v>
          </cell>
        </row>
        <row r="265">
          <cell r="Y265" t="b">
            <v>0</v>
          </cell>
          <cell r="Z265" t="b">
            <v>0</v>
          </cell>
          <cell r="AA265" t="b">
            <v>0</v>
          </cell>
          <cell r="AB265" t="b">
            <v>0</v>
          </cell>
          <cell r="AC265" t="b">
            <v>0</v>
          </cell>
        </row>
        <row r="266">
          <cell r="Y266" t="b">
            <v>0</v>
          </cell>
          <cell r="Z266" t="b">
            <v>0</v>
          </cell>
          <cell r="AA266" t="b">
            <v>0</v>
          </cell>
          <cell r="AB266" t="b">
            <v>0</v>
          </cell>
          <cell r="AC266" t="b">
            <v>0</v>
          </cell>
        </row>
        <row r="267">
          <cell r="Y267" t="b">
            <v>0</v>
          </cell>
          <cell r="Z267" t="b">
            <v>0</v>
          </cell>
          <cell r="AA267" t="b">
            <v>0</v>
          </cell>
          <cell r="AB267" t="b">
            <v>0</v>
          </cell>
          <cell r="AC267" t="b">
            <v>0</v>
          </cell>
        </row>
        <row r="268">
          <cell r="Y268" t="b">
            <v>0</v>
          </cell>
          <cell r="Z268" t="b">
            <v>0</v>
          </cell>
          <cell r="AA268" t="b">
            <v>0</v>
          </cell>
          <cell r="AB268" t="b">
            <v>0</v>
          </cell>
          <cell r="AC268" t="b">
            <v>0</v>
          </cell>
        </row>
        <row r="269">
          <cell r="Y269" t="b">
            <v>0</v>
          </cell>
          <cell r="Z269" t="b">
            <v>0</v>
          </cell>
          <cell r="AA269" t="b">
            <v>0</v>
          </cell>
          <cell r="AB269" t="b">
            <v>0</v>
          </cell>
          <cell r="AC269" t="b">
            <v>0</v>
          </cell>
        </row>
        <row r="270">
          <cell r="Y270" t="b">
            <v>0</v>
          </cell>
          <cell r="Z270" t="b">
            <v>0</v>
          </cell>
          <cell r="AA270" t="b">
            <v>0</v>
          </cell>
          <cell r="AB270" t="b">
            <v>0</v>
          </cell>
          <cell r="AC270" t="b">
            <v>0</v>
          </cell>
        </row>
        <row r="271">
          <cell r="Y271" t="b">
            <v>0</v>
          </cell>
          <cell r="Z271" t="b">
            <v>0</v>
          </cell>
          <cell r="AA271" t="b">
            <v>0</v>
          </cell>
          <cell r="AB271" t="b">
            <v>0</v>
          </cell>
          <cell r="AC271" t="b">
            <v>0</v>
          </cell>
        </row>
        <row r="272">
          <cell r="Y272" t="b">
            <v>0</v>
          </cell>
          <cell r="Z272" t="b">
            <v>0</v>
          </cell>
          <cell r="AA272" t="b">
            <v>0</v>
          </cell>
          <cell r="AB272" t="b">
            <v>0</v>
          </cell>
          <cell r="AC272" t="b">
            <v>0</v>
          </cell>
        </row>
        <row r="273">
          <cell r="Y273" t="b">
            <v>0</v>
          </cell>
          <cell r="Z273" t="b">
            <v>0</v>
          </cell>
          <cell r="AA273" t="b">
            <v>0</v>
          </cell>
          <cell r="AB273" t="b">
            <v>0</v>
          </cell>
          <cell r="AC273" t="b">
            <v>0</v>
          </cell>
        </row>
        <row r="274">
          <cell r="Y274" t="b">
            <v>0</v>
          </cell>
          <cell r="Z274" t="b">
            <v>0</v>
          </cell>
          <cell r="AA274" t="b">
            <v>0</v>
          </cell>
          <cell r="AB274" t="b">
            <v>0</v>
          </cell>
          <cell r="AC274" t="b">
            <v>0</v>
          </cell>
        </row>
        <row r="275">
          <cell r="Y275" t="b">
            <v>0</v>
          </cell>
          <cell r="Z275" t="b">
            <v>0</v>
          </cell>
          <cell r="AA275" t="b">
            <v>0</v>
          </cell>
          <cell r="AB275" t="b">
            <v>0</v>
          </cell>
          <cell r="AC275" t="b">
            <v>0</v>
          </cell>
        </row>
        <row r="276">
          <cell r="Y276" t="b">
            <v>0</v>
          </cell>
          <cell r="Z276" t="b">
            <v>0</v>
          </cell>
          <cell r="AA276" t="b">
            <v>0</v>
          </cell>
          <cell r="AB276" t="b">
            <v>0</v>
          </cell>
          <cell r="AC276" t="b">
            <v>0</v>
          </cell>
        </row>
        <row r="277">
          <cell r="Y277" t="b">
            <v>0</v>
          </cell>
          <cell r="Z277" t="b">
            <v>0</v>
          </cell>
          <cell r="AA277" t="b">
            <v>0</v>
          </cell>
          <cell r="AB277" t="b">
            <v>0</v>
          </cell>
          <cell r="AC277" t="b">
            <v>0</v>
          </cell>
        </row>
        <row r="278">
          <cell r="Y278" t="b">
            <v>0</v>
          </cell>
          <cell r="Z278" t="b">
            <v>0</v>
          </cell>
          <cell r="AA278" t="b">
            <v>0</v>
          </cell>
          <cell r="AB278" t="b">
            <v>0</v>
          </cell>
          <cell r="AC278" t="b">
            <v>0</v>
          </cell>
        </row>
        <row r="279">
          <cell r="Y279" t="b">
            <v>0</v>
          </cell>
          <cell r="Z279" t="b">
            <v>0</v>
          </cell>
          <cell r="AA279" t="b">
            <v>0</v>
          </cell>
          <cell r="AB279" t="b">
            <v>0</v>
          </cell>
          <cell r="AC279" t="b">
            <v>0</v>
          </cell>
        </row>
        <row r="280">
          <cell r="Y280" t="b">
            <v>0</v>
          </cell>
          <cell r="Z280" t="b">
            <v>0</v>
          </cell>
          <cell r="AA280" t="b">
            <v>0</v>
          </cell>
          <cell r="AB280" t="b">
            <v>0</v>
          </cell>
          <cell r="AC280" t="b">
            <v>0</v>
          </cell>
        </row>
        <row r="281">
          <cell r="Y281" t="b">
            <v>0</v>
          </cell>
          <cell r="Z281" t="b">
            <v>0</v>
          </cell>
          <cell r="AA281" t="b">
            <v>0</v>
          </cell>
          <cell r="AB281" t="b">
            <v>0</v>
          </cell>
          <cell r="AC281" t="b">
            <v>0</v>
          </cell>
        </row>
        <row r="282">
          <cell r="Y282" t="b">
            <v>0</v>
          </cell>
          <cell r="Z282" t="b">
            <v>0</v>
          </cell>
          <cell r="AA282" t="b">
            <v>0</v>
          </cell>
          <cell r="AB282" t="b">
            <v>0</v>
          </cell>
          <cell r="AC282" t="b">
            <v>0</v>
          </cell>
        </row>
        <row r="283">
          <cell r="Y283" t="b">
            <v>0</v>
          </cell>
          <cell r="Z283" t="b">
            <v>0</v>
          </cell>
          <cell r="AA283" t="b">
            <v>0</v>
          </cell>
          <cell r="AB283" t="b">
            <v>0</v>
          </cell>
          <cell r="AC283" t="b">
            <v>0</v>
          </cell>
        </row>
        <row r="284">
          <cell r="Y284" t="b">
            <v>0</v>
          </cell>
          <cell r="Z284" t="b">
            <v>0</v>
          </cell>
          <cell r="AA284" t="b">
            <v>0</v>
          </cell>
          <cell r="AB284" t="b">
            <v>0</v>
          </cell>
          <cell r="AC284" t="b">
            <v>0</v>
          </cell>
        </row>
        <row r="285">
          <cell r="Y285" t="b">
            <v>0</v>
          </cell>
          <cell r="Z285" t="b">
            <v>0</v>
          </cell>
          <cell r="AA285" t="b">
            <v>0</v>
          </cell>
          <cell r="AB285" t="b">
            <v>0</v>
          </cell>
          <cell r="AC285" t="b">
            <v>0</v>
          </cell>
        </row>
        <row r="286">
          <cell r="Y286" t="b">
            <v>0</v>
          </cell>
          <cell r="Z286" t="b">
            <v>0</v>
          </cell>
          <cell r="AA286" t="b">
            <v>0</v>
          </cell>
          <cell r="AB286" t="b">
            <v>0</v>
          </cell>
          <cell r="AC286" t="b">
            <v>0</v>
          </cell>
        </row>
        <row r="287">
          <cell r="Y287" t="b">
            <v>0</v>
          </cell>
          <cell r="Z287" t="b">
            <v>0</v>
          </cell>
          <cell r="AA287" t="b">
            <v>0</v>
          </cell>
          <cell r="AB287" t="b">
            <v>0</v>
          </cell>
          <cell r="AC287" t="b">
            <v>0</v>
          </cell>
        </row>
        <row r="288">
          <cell r="Y288" t="b">
            <v>0</v>
          </cell>
          <cell r="Z288" t="b">
            <v>0</v>
          </cell>
          <cell r="AA288" t="b">
            <v>0</v>
          </cell>
          <cell r="AB288" t="b">
            <v>0</v>
          </cell>
          <cell r="AC288" t="b">
            <v>0</v>
          </cell>
        </row>
        <row r="289">
          <cell r="Y289" t="b">
            <v>0</v>
          </cell>
          <cell r="Z289" t="b">
            <v>0</v>
          </cell>
          <cell r="AA289" t="b">
            <v>0</v>
          </cell>
          <cell r="AB289" t="b">
            <v>0</v>
          </cell>
          <cell r="AC289" t="b">
            <v>0</v>
          </cell>
        </row>
        <row r="290">
          <cell r="Y290" t="b">
            <v>0</v>
          </cell>
          <cell r="Z290" t="b">
            <v>0</v>
          </cell>
          <cell r="AA290" t="b">
            <v>0</v>
          </cell>
          <cell r="AB290" t="b">
            <v>0</v>
          </cell>
          <cell r="AC290" t="b">
            <v>0</v>
          </cell>
        </row>
        <row r="291">
          <cell r="Y291" t="b">
            <v>0</v>
          </cell>
          <cell r="Z291" t="b">
            <v>0</v>
          </cell>
          <cell r="AA291" t="b">
            <v>0</v>
          </cell>
          <cell r="AB291" t="b">
            <v>0</v>
          </cell>
          <cell r="AC291" t="b">
            <v>0</v>
          </cell>
        </row>
        <row r="292">
          <cell r="Y292" t="b">
            <v>0</v>
          </cell>
          <cell r="Z292" t="b">
            <v>0</v>
          </cell>
          <cell r="AA292" t="b">
            <v>0</v>
          </cell>
          <cell r="AB292" t="b">
            <v>0</v>
          </cell>
          <cell r="AC292" t="b">
            <v>0</v>
          </cell>
        </row>
        <row r="293">
          <cell r="Y293" t="b">
            <v>0</v>
          </cell>
          <cell r="Z293" t="b">
            <v>0</v>
          </cell>
          <cell r="AA293" t="b">
            <v>0</v>
          </cell>
          <cell r="AB293" t="b">
            <v>0</v>
          </cell>
          <cell r="AC293" t="b">
            <v>0</v>
          </cell>
        </row>
        <row r="294">
          <cell r="Y294" t="b">
            <v>0</v>
          </cell>
          <cell r="Z294" t="b">
            <v>0</v>
          </cell>
          <cell r="AA294" t="b">
            <v>0</v>
          </cell>
          <cell r="AB294" t="b">
            <v>0</v>
          </cell>
          <cell r="AC294" t="b">
            <v>0</v>
          </cell>
        </row>
        <row r="295">
          <cell r="Y295" t="b">
            <v>0</v>
          </cell>
          <cell r="Z295" t="b">
            <v>0</v>
          </cell>
          <cell r="AA295" t="b">
            <v>0</v>
          </cell>
          <cell r="AB295" t="b">
            <v>0</v>
          </cell>
          <cell r="AC295" t="b">
            <v>0</v>
          </cell>
        </row>
        <row r="296">
          <cell r="Y296" t="b">
            <v>0</v>
          </cell>
          <cell r="Z296" t="b">
            <v>0</v>
          </cell>
          <cell r="AA296" t="b">
            <v>0</v>
          </cell>
          <cell r="AB296" t="b">
            <v>0</v>
          </cell>
          <cell r="AC296" t="b">
            <v>0</v>
          </cell>
        </row>
        <row r="297">
          <cell r="Y297" t="b">
            <v>0</v>
          </cell>
          <cell r="Z297" t="b">
            <v>0</v>
          </cell>
          <cell r="AA297" t="b">
            <v>0</v>
          </cell>
          <cell r="AB297" t="b">
            <v>0</v>
          </cell>
          <cell r="AC297" t="b">
            <v>0</v>
          </cell>
        </row>
        <row r="298">
          <cell r="Y298" t="b">
            <v>0</v>
          </cell>
          <cell r="Z298" t="b">
            <v>0</v>
          </cell>
          <cell r="AA298" t="b">
            <v>0</v>
          </cell>
          <cell r="AB298" t="b">
            <v>0</v>
          </cell>
          <cell r="AC298" t="b">
            <v>0</v>
          </cell>
        </row>
        <row r="299">
          <cell r="Y299" t="b">
            <v>0</v>
          </cell>
          <cell r="Z299" t="b">
            <v>0</v>
          </cell>
          <cell r="AA299" t="b">
            <v>0</v>
          </cell>
          <cell r="AB299" t="b">
            <v>0</v>
          </cell>
          <cell r="AC299" t="b">
            <v>0</v>
          </cell>
        </row>
        <row r="300">
          <cell r="Y300" t="b">
            <v>0</v>
          </cell>
          <cell r="Z300" t="b">
            <v>0</v>
          </cell>
          <cell r="AA300" t="b">
            <v>0</v>
          </cell>
          <cell r="AB300" t="b">
            <v>0</v>
          </cell>
          <cell r="AC300" t="b">
            <v>0</v>
          </cell>
        </row>
        <row r="301">
          <cell r="Y301" t="b">
            <v>0</v>
          </cell>
          <cell r="Z301" t="b">
            <v>0</v>
          </cell>
          <cell r="AA301" t="b">
            <v>0</v>
          </cell>
          <cell r="AB301" t="b">
            <v>0</v>
          </cell>
          <cell r="AC301" t="b">
            <v>0</v>
          </cell>
        </row>
        <row r="302">
          <cell r="Y302" t="b">
            <v>0</v>
          </cell>
          <cell r="Z302" t="b">
            <v>0</v>
          </cell>
          <cell r="AA302" t="b">
            <v>0</v>
          </cell>
          <cell r="AB302" t="b">
            <v>0</v>
          </cell>
          <cell r="AC302" t="b">
            <v>0</v>
          </cell>
        </row>
        <row r="303">
          <cell r="Y303" t="b">
            <v>0</v>
          </cell>
          <cell r="Z303" t="b">
            <v>0</v>
          </cell>
          <cell r="AA303" t="b">
            <v>0</v>
          </cell>
          <cell r="AB303" t="b">
            <v>0</v>
          </cell>
          <cell r="AC303" t="b">
            <v>0</v>
          </cell>
        </row>
        <row r="304">
          <cell r="Y304" t="b">
            <v>0</v>
          </cell>
          <cell r="Z304" t="b">
            <v>0</v>
          </cell>
          <cell r="AA304" t="b">
            <v>0</v>
          </cell>
          <cell r="AB304" t="b">
            <v>0</v>
          </cell>
          <cell r="AC304" t="b">
            <v>0</v>
          </cell>
        </row>
        <row r="305">
          <cell r="Y305" t="b">
            <v>0</v>
          </cell>
          <cell r="Z305" t="b">
            <v>0</v>
          </cell>
          <cell r="AA305" t="b">
            <v>0</v>
          </cell>
          <cell r="AB305" t="b">
            <v>0</v>
          </cell>
          <cell r="AC305" t="b">
            <v>0</v>
          </cell>
        </row>
        <row r="306">
          <cell r="Y306" t="b">
            <v>0</v>
          </cell>
          <cell r="Z306" t="b">
            <v>0</v>
          </cell>
          <cell r="AA306" t="b">
            <v>0</v>
          </cell>
          <cell r="AB306" t="b">
            <v>0</v>
          </cell>
          <cell r="AC306" t="b">
            <v>0</v>
          </cell>
        </row>
        <row r="307">
          <cell r="Y307" t="b">
            <v>0</v>
          </cell>
          <cell r="Z307" t="b">
            <v>0</v>
          </cell>
          <cell r="AA307" t="b">
            <v>0</v>
          </cell>
          <cell r="AB307" t="b">
            <v>0</v>
          </cell>
          <cell r="AC307" t="b">
            <v>0</v>
          </cell>
        </row>
        <row r="308">
          <cell r="Y308" t="b">
            <v>0</v>
          </cell>
          <cell r="Z308" t="b">
            <v>0</v>
          </cell>
          <cell r="AA308" t="b">
            <v>0</v>
          </cell>
          <cell r="AB308" t="b">
            <v>0</v>
          </cell>
          <cell r="AC308" t="b">
            <v>0</v>
          </cell>
        </row>
        <row r="309">
          <cell r="Y309" t="b">
            <v>0</v>
          </cell>
          <cell r="Z309" t="b">
            <v>0</v>
          </cell>
          <cell r="AA309" t="b">
            <v>0</v>
          </cell>
          <cell r="AB309" t="b">
            <v>0</v>
          </cell>
          <cell r="AC309" t="b">
            <v>0</v>
          </cell>
        </row>
        <row r="310">
          <cell r="Y310" t="b">
            <v>0</v>
          </cell>
          <cell r="Z310" t="b">
            <v>0</v>
          </cell>
          <cell r="AA310" t="b">
            <v>0</v>
          </cell>
          <cell r="AB310" t="b">
            <v>0</v>
          </cell>
          <cell r="AC310" t="b">
            <v>0</v>
          </cell>
        </row>
        <row r="311">
          <cell r="Y311" t="b">
            <v>0</v>
          </cell>
          <cell r="Z311" t="b">
            <v>0</v>
          </cell>
          <cell r="AA311" t="b">
            <v>0</v>
          </cell>
          <cell r="AB311" t="b">
            <v>0</v>
          </cell>
          <cell r="AC311" t="b">
            <v>0</v>
          </cell>
        </row>
        <row r="312">
          <cell r="Y312" t="b">
            <v>0</v>
          </cell>
          <cell r="Z312" t="b">
            <v>0</v>
          </cell>
          <cell r="AA312" t="b">
            <v>0</v>
          </cell>
          <cell r="AB312" t="b">
            <v>0</v>
          </cell>
          <cell r="AC312" t="b">
            <v>0</v>
          </cell>
        </row>
        <row r="313">
          <cell r="Y313" t="b">
            <v>0</v>
          </cell>
          <cell r="Z313" t="b">
            <v>0</v>
          </cell>
          <cell r="AA313" t="b">
            <v>0</v>
          </cell>
          <cell r="AB313" t="b">
            <v>0</v>
          </cell>
          <cell r="AC313" t="b">
            <v>0</v>
          </cell>
        </row>
        <row r="314">
          <cell r="Y314" t="b">
            <v>0</v>
          </cell>
          <cell r="Z314" t="b">
            <v>0</v>
          </cell>
          <cell r="AA314" t="b">
            <v>0</v>
          </cell>
          <cell r="AB314" t="b">
            <v>0</v>
          </cell>
          <cell r="AC314" t="b">
            <v>0</v>
          </cell>
        </row>
        <row r="315">
          <cell r="Y315" t="b">
            <v>0</v>
          </cell>
          <cell r="Z315" t="b">
            <v>0</v>
          </cell>
          <cell r="AA315" t="b">
            <v>0</v>
          </cell>
          <cell r="AB315" t="b">
            <v>0</v>
          </cell>
          <cell r="AC315" t="b">
            <v>0</v>
          </cell>
        </row>
        <row r="316">
          <cell r="Y316" t="b">
            <v>0</v>
          </cell>
          <cell r="Z316" t="b">
            <v>0</v>
          </cell>
          <cell r="AA316" t="b">
            <v>0</v>
          </cell>
          <cell r="AB316" t="b">
            <v>0</v>
          </cell>
          <cell r="AC316" t="b">
            <v>0</v>
          </cell>
        </row>
        <row r="317">
          <cell r="Y317" t="b">
            <v>0</v>
          </cell>
          <cell r="Z317" t="b">
            <v>0</v>
          </cell>
          <cell r="AA317" t="b">
            <v>0</v>
          </cell>
          <cell r="AB317" t="b">
            <v>0</v>
          </cell>
          <cell r="AC317" t="b">
            <v>0</v>
          </cell>
        </row>
        <row r="318">
          <cell r="Y318" t="b">
            <v>0</v>
          </cell>
          <cell r="Z318" t="b">
            <v>0</v>
          </cell>
          <cell r="AA318" t="b">
            <v>0</v>
          </cell>
          <cell r="AB318" t="b">
            <v>0</v>
          </cell>
          <cell r="AC318" t="b">
            <v>0</v>
          </cell>
        </row>
        <row r="319">
          <cell r="Y319" t="b">
            <v>0</v>
          </cell>
          <cell r="Z319" t="b">
            <v>0</v>
          </cell>
          <cell r="AA319" t="b">
            <v>0</v>
          </cell>
          <cell r="AB319" t="b">
            <v>0</v>
          </cell>
          <cell r="AC319" t="b">
            <v>0</v>
          </cell>
        </row>
        <row r="320">
          <cell r="Y320" t="b">
            <v>0</v>
          </cell>
          <cell r="Z320" t="b">
            <v>0</v>
          </cell>
          <cell r="AA320" t="b">
            <v>0</v>
          </cell>
          <cell r="AB320" t="b">
            <v>0</v>
          </cell>
          <cell r="AC320" t="b">
            <v>0</v>
          </cell>
        </row>
        <row r="321">
          <cell r="Y321" t="b">
            <v>0</v>
          </cell>
          <cell r="Z321" t="b">
            <v>0</v>
          </cell>
          <cell r="AA321" t="b">
            <v>0</v>
          </cell>
          <cell r="AB321" t="b">
            <v>0</v>
          </cell>
          <cell r="AC321" t="b">
            <v>0</v>
          </cell>
        </row>
        <row r="322">
          <cell r="Y322" t="b">
            <v>0</v>
          </cell>
          <cell r="Z322" t="b">
            <v>0</v>
          </cell>
          <cell r="AA322" t="b">
            <v>0</v>
          </cell>
          <cell r="AB322" t="b">
            <v>0</v>
          </cell>
          <cell r="AC322" t="b">
            <v>0</v>
          </cell>
        </row>
        <row r="323">
          <cell r="Y323" t="b">
            <v>0</v>
          </cell>
          <cell r="Z323" t="b">
            <v>0</v>
          </cell>
          <cell r="AA323" t="b">
            <v>0</v>
          </cell>
          <cell r="AB323" t="b">
            <v>0</v>
          </cell>
          <cell r="AC323" t="b">
            <v>0</v>
          </cell>
        </row>
        <row r="324">
          <cell r="Y324" t="b">
            <v>0</v>
          </cell>
          <cell r="Z324" t="b">
            <v>0</v>
          </cell>
          <cell r="AA324" t="b">
            <v>0</v>
          </cell>
          <cell r="AB324" t="b">
            <v>0</v>
          </cell>
          <cell r="AC324" t="b">
            <v>0</v>
          </cell>
        </row>
        <row r="325">
          <cell r="Y325" t="b">
            <v>0</v>
          </cell>
          <cell r="Z325" t="b">
            <v>0</v>
          </cell>
          <cell r="AA325" t="b">
            <v>0</v>
          </cell>
          <cell r="AB325" t="b">
            <v>0</v>
          </cell>
          <cell r="AC325" t="b">
            <v>0</v>
          </cell>
        </row>
        <row r="326">
          <cell r="Y326" t="b">
            <v>0</v>
          </cell>
          <cell r="Z326" t="b">
            <v>0</v>
          </cell>
          <cell r="AA326" t="b">
            <v>0</v>
          </cell>
          <cell r="AB326" t="b">
            <v>0</v>
          </cell>
          <cell r="AC326" t="b">
            <v>0</v>
          </cell>
        </row>
        <row r="327">
          <cell r="Y327" t="b">
            <v>0</v>
          </cell>
          <cell r="Z327" t="b">
            <v>0</v>
          </cell>
          <cell r="AA327" t="b">
            <v>0</v>
          </cell>
          <cell r="AB327" t="b">
            <v>0</v>
          </cell>
          <cell r="AC327" t="b">
            <v>0</v>
          </cell>
        </row>
        <row r="328">
          <cell r="Y328" t="b">
            <v>0</v>
          </cell>
          <cell r="Z328" t="b">
            <v>0</v>
          </cell>
          <cell r="AA328" t="b">
            <v>0</v>
          </cell>
          <cell r="AB328" t="b">
            <v>0</v>
          </cell>
          <cell r="AC328" t="b">
            <v>0</v>
          </cell>
        </row>
        <row r="329">
          <cell r="Y329" t="b">
            <v>0</v>
          </cell>
          <cell r="Z329" t="b">
            <v>0</v>
          </cell>
          <cell r="AA329" t="b">
            <v>0</v>
          </cell>
          <cell r="AB329" t="b">
            <v>0</v>
          </cell>
          <cell r="AC329" t="b">
            <v>0</v>
          </cell>
        </row>
        <row r="330">
          <cell r="Y330" t="b">
            <v>0</v>
          </cell>
          <cell r="Z330" t="b">
            <v>0</v>
          </cell>
          <cell r="AA330" t="b">
            <v>0</v>
          </cell>
          <cell r="AB330" t="b">
            <v>0</v>
          </cell>
          <cell r="AC330" t="b">
            <v>0</v>
          </cell>
        </row>
        <row r="331">
          <cell r="Y331" t="b">
            <v>0</v>
          </cell>
          <cell r="Z331" t="b">
            <v>0</v>
          </cell>
          <cell r="AA331" t="b">
            <v>0</v>
          </cell>
          <cell r="AB331" t="b">
            <v>0</v>
          </cell>
          <cell r="AC331" t="b">
            <v>0</v>
          </cell>
        </row>
        <row r="332">
          <cell r="Y332" t="b">
            <v>0</v>
          </cell>
          <cell r="Z332" t="b">
            <v>0</v>
          </cell>
          <cell r="AA332" t="b">
            <v>0</v>
          </cell>
          <cell r="AB332" t="b">
            <v>0</v>
          </cell>
          <cell r="AC332" t="b">
            <v>0</v>
          </cell>
        </row>
        <row r="333">
          <cell r="Y333" t="b">
            <v>0</v>
          </cell>
          <cell r="Z333" t="b">
            <v>0</v>
          </cell>
          <cell r="AA333" t="b">
            <v>0</v>
          </cell>
          <cell r="AB333" t="b">
            <v>0</v>
          </cell>
          <cell r="AC333" t="b">
            <v>0</v>
          </cell>
        </row>
        <row r="334">
          <cell r="Y334" t="b">
            <v>0</v>
          </cell>
          <cell r="Z334" t="b">
            <v>0</v>
          </cell>
          <cell r="AA334" t="b">
            <v>0</v>
          </cell>
          <cell r="AB334" t="b">
            <v>0</v>
          </cell>
          <cell r="AC334" t="b">
            <v>0</v>
          </cell>
        </row>
        <row r="335">
          <cell r="Y335" t="b">
            <v>0</v>
          </cell>
          <cell r="Z335" t="b">
            <v>0</v>
          </cell>
          <cell r="AA335" t="b">
            <v>0</v>
          </cell>
          <cell r="AB335" t="b">
            <v>0</v>
          </cell>
          <cell r="AC335" t="b">
            <v>0</v>
          </cell>
        </row>
        <row r="336">
          <cell r="Y336" t="b">
            <v>0</v>
          </cell>
          <cell r="Z336" t="b">
            <v>0</v>
          </cell>
          <cell r="AA336" t="b">
            <v>0</v>
          </cell>
          <cell r="AB336" t="b">
            <v>0</v>
          </cell>
          <cell r="AC336" t="b">
            <v>0</v>
          </cell>
        </row>
        <row r="337">
          <cell r="Y337" t="b">
            <v>0</v>
          </cell>
          <cell r="Z337" t="b">
            <v>0</v>
          </cell>
          <cell r="AA337" t="b">
            <v>0</v>
          </cell>
          <cell r="AB337" t="b">
            <v>0</v>
          </cell>
          <cell r="AC337" t="b">
            <v>0</v>
          </cell>
        </row>
        <row r="338">
          <cell r="Y338" t="b">
            <v>0</v>
          </cell>
          <cell r="Z338" t="b">
            <v>0</v>
          </cell>
          <cell r="AA338" t="b">
            <v>0</v>
          </cell>
          <cell r="AB338" t="b">
            <v>0</v>
          </cell>
          <cell r="AC338" t="b">
            <v>0</v>
          </cell>
        </row>
        <row r="339">
          <cell r="Y339" t="b">
            <v>0</v>
          </cell>
          <cell r="Z339" t="b">
            <v>0</v>
          </cell>
          <cell r="AA339" t="b">
            <v>0</v>
          </cell>
          <cell r="AB339" t="b">
            <v>0</v>
          </cell>
          <cell r="AC339" t="b">
            <v>0</v>
          </cell>
        </row>
        <row r="340">
          <cell r="Y340" t="b">
            <v>0</v>
          </cell>
          <cell r="Z340" t="b">
            <v>0</v>
          </cell>
          <cell r="AA340" t="b">
            <v>0</v>
          </cell>
          <cell r="AB340" t="b">
            <v>0</v>
          </cell>
          <cell r="AC340" t="b">
            <v>0</v>
          </cell>
        </row>
        <row r="341">
          <cell r="Y341" t="b">
            <v>0</v>
          </cell>
          <cell r="Z341" t="b">
            <v>0</v>
          </cell>
          <cell r="AA341" t="b">
            <v>0</v>
          </cell>
          <cell r="AB341" t="b">
            <v>0</v>
          </cell>
          <cell r="AC341" t="b">
            <v>0</v>
          </cell>
        </row>
        <row r="342">
          <cell r="Y342" t="b">
            <v>0</v>
          </cell>
          <cell r="Z342" t="b">
            <v>0</v>
          </cell>
          <cell r="AA342" t="b">
            <v>0</v>
          </cell>
          <cell r="AB342" t="b">
            <v>0</v>
          </cell>
          <cell r="AC342" t="b">
            <v>0</v>
          </cell>
        </row>
        <row r="343">
          <cell r="Y343" t="b">
            <v>0</v>
          </cell>
          <cell r="Z343" t="b">
            <v>0</v>
          </cell>
          <cell r="AA343" t="b">
            <v>0</v>
          </cell>
          <cell r="AB343" t="b">
            <v>0</v>
          </cell>
          <cell r="AC343" t="b">
            <v>0</v>
          </cell>
        </row>
        <row r="344">
          <cell r="Y344" t="b">
            <v>0</v>
          </cell>
          <cell r="Z344" t="b">
            <v>0</v>
          </cell>
          <cell r="AA344" t="b">
            <v>0</v>
          </cell>
          <cell r="AB344" t="b">
            <v>0</v>
          </cell>
          <cell r="AC344" t="b">
            <v>0</v>
          </cell>
        </row>
        <row r="345">
          <cell r="Y345" t="b">
            <v>0</v>
          </cell>
          <cell r="Z345" t="b">
            <v>0</v>
          </cell>
          <cell r="AA345" t="b">
            <v>0</v>
          </cell>
          <cell r="AB345" t="b">
            <v>0</v>
          </cell>
          <cell r="AC345" t="b">
            <v>0</v>
          </cell>
        </row>
        <row r="346">
          <cell r="Y346" t="b">
            <v>0</v>
          </cell>
          <cell r="Z346" t="b">
            <v>0</v>
          </cell>
          <cell r="AA346" t="b">
            <v>0</v>
          </cell>
          <cell r="AB346" t="b">
            <v>0</v>
          </cell>
          <cell r="AC346" t="b">
            <v>0</v>
          </cell>
        </row>
        <row r="347">
          <cell r="Y347" t="b">
            <v>0</v>
          </cell>
          <cell r="Z347" t="b">
            <v>0</v>
          </cell>
          <cell r="AA347" t="b">
            <v>0</v>
          </cell>
          <cell r="AB347" t="b">
            <v>0</v>
          </cell>
          <cell r="AC347" t="b">
            <v>0</v>
          </cell>
        </row>
        <row r="348">
          <cell r="Y348" t="b">
            <v>0</v>
          </cell>
          <cell r="Z348" t="b">
            <v>0</v>
          </cell>
          <cell r="AA348" t="b">
            <v>0</v>
          </cell>
          <cell r="AB348" t="b">
            <v>0</v>
          </cell>
          <cell r="AC348" t="b">
            <v>0</v>
          </cell>
        </row>
        <row r="349">
          <cell r="Y349" t="b">
            <v>0</v>
          </cell>
          <cell r="Z349" t="b">
            <v>0</v>
          </cell>
          <cell r="AA349" t="b">
            <v>0</v>
          </cell>
          <cell r="AB349" t="b">
            <v>0</v>
          </cell>
          <cell r="AC349" t="b">
            <v>0</v>
          </cell>
        </row>
        <row r="350">
          <cell r="Y350" t="b">
            <v>0</v>
          </cell>
          <cell r="Z350" t="b">
            <v>0</v>
          </cell>
          <cell r="AA350" t="b">
            <v>0</v>
          </cell>
          <cell r="AB350" t="b">
            <v>0</v>
          </cell>
          <cell r="AC350" t="b">
            <v>0</v>
          </cell>
        </row>
        <row r="351">
          <cell r="Y351" t="b">
            <v>0</v>
          </cell>
          <cell r="Z351" t="b">
            <v>0</v>
          </cell>
          <cell r="AA351" t="b">
            <v>0</v>
          </cell>
          <cell r="AB351" t="b">
            <v>0</v>
          </cell>
          <cell r="AC351" t="b">
            <v>0</v>
          </cell>
        </row>
        <row r="352">
          <cell r="Y352" t="b">
            <v>0</v>
          </cell>
          <cell r="Z352" t="b">
            <v>0</v>
          </cell>
          <cell r="AA352" t="b">
            <v>0</v>
          </cell>
          <cell r="AB352" t="b">
            <v>0</v>
          </cell>
          <cell r="AC352" t="b">
            <v>0</v>
          </cell>
        </row>
        <row r="353">
          <cell r="Y353" t="b">
            <v>0</v>
          </cell>
          <cell r="Z353" t="b">
            <v>0</v>
          </cell>
          <cell r="AA353" t="b">
            <v>0</v>
          </cell>
          <cell r="AB353" t="b">
            <v>0</v>
          </cell>
          <cell r="AC353" t="b">
            <v>0</v>
          </cell>
        </row>
        <row r="354">
          <cell r="Y354" t="b">
            <v>0</v>
          </cell>
          <cell r="Z354" t="b">
            <v>0</v>
          </cell>
          <cell r="AA354" t="b">
            <v>0</v>
          </cell>
          <cell r="AB354" t="b">
            <v>0</v>
          </cell>
          <cell r="AC354" t="b">
            <v>0</v>
          </cell>
        </row>
        <row r="355">
          <cell r="Y355" t="b">
            <v>0</v>
          </cell>
          <cell r="Z355" t="b">
            <v>0</v>
          </cell>
          <cell r="AA355" t="b">
            <v>0</v>
          </cell>
          <cell r="AB355" t="b">
            <v>0</v>
          </cell>
          <cell r="AC355" t="b">
            <v>0</v>
          </cell>
        </row>
        <row r="356">
          <cell r="Y356" t="b">
            <v>0</v>
          </cell>
          <cell r="Z356" t="b">
            <v>0</v>
          </cell>
          <cell r="AA356" t="b">
            <v>0</v>
          </cell>
          <cell r="AB356" t="b">
            <v>0</v>
          </cell>
          <cell r="AC356" t="b">
            <v>0</v>
          </cell>
        </row>
        <row r="357">
          <cell r="Y357" t="b">
            <v>0</v>
          </cell>
          <cell r="Z357" t="b">
            <v>0</v>
          </cell>
          <cell r="AA357" t="b">
            <v>0</v>
          </cell>
          <cell r="AB357" t="b">
            <v>0</v>
          </cell>
          <cell r="AC357" t="b">
            <v>0</v>
          </cell>
        </row>
        <row r="358">
          <cell r="Y358" t="b">
            <v>0</v>
          </cell>
          <cell r="Z358" t="b">
            <v>0</v>
          </cell>
          <cell r="AA358" t="b">
            <v>0</v>
          </cell>
          <cell r="AB358" t="b">
            <v>0</v>
          </cell>
          <cell r="AC358" t="b">
            <v>0</v>
          </cell>
        </row>
        <row r="359">
          <cell r="Y359" t="b">
            <v>0</v>
          </cell>
          <cell r="Z359" t="b">
            <v>0</v>
          </cell>
          <cell r="AA359" t="b">
            <v>0</v>
          </cell>
          <cell r="AB359" t="b">
            <v>0</v>
          </cell>
          <cell r="AC359" t="b">
            <v>0</v>
          </cell>
        </row>
        <row r="360">
          <cell r="Y360" t="b">
            <v>0</v>
          </cell>
          <cell r="Z360" t="b">
            <v>0</v>
          </cell>
          <cell r="AA360" t="b">
            <v>0</v>
          </cell>
          <cell r="AB360" t="b">
            <v>0</v>
          </cell>
          <cell r="AC360" t="b">
            <v>0</v>
          </cell>
        </row>
        <row r="361">
          <cell r="Y361" t="b">
            <v>0</v>
          </cell>
          <cell r="Z361" t="b">
            <v>0</v>
          </cell>
          <cell r="AA361" t="b">
            <v>0</v>
          </cell>
          <cell r="AB361" t="b">
            <v>0</v>
          </cell>
          <cell r="AC361" t="b">
            <v>0</v>
          </cell>
        </row>
        <row r="362">
          <cell r="Y362" t="b">
            <v>0</v>
          </cell>
          <cell r="Z362" t="b">
            <v>0</v>
          </cell>
          <cell r="AA362" t="b">
            <v>0</v>
          </cell>
          <cell r="AB362" t="b">
            <v>0</v>
          </cell>
          <cell r="AC362" t="b">
            <v>0</v>
          </cell>
        </row>
        <row r="363">
          <cell r="Y363" t="b">
            <v>0</v>
          </cell>
          <cell r="Z363" t="b">
            <v>0</v>
          </cell>
          <cell r="AA363" t="b">
            <v>0</v>
          </cell>
          <cell r="AB363" t="b">
            <v>0</v>
          </cell>
          <cell r="AC363" t="b">
            <v>0</v>
          </cell>
        </row>
        <row r="364">
          <cell r="Y364" t="b">
            <v>0</v>
          </cell>
          <cell r="Z364" t="b">
            <v>0</v>
          </cell>
          <cell r="AA364" t="b">
            <v>0</v>
          </cell>
          <cell r="AB364" t="b">
            <v>0</v>
          </cell>
          <cell r="AC364" t="b">
            <v>0</v>
          </cell>
        </row>
        <row r="365">
          <cell r="Y365" t="b">
            <v>0</v>
          </cell>
          <cell r="Z365" t="b">
            <v>0</v>
          </cell>
          <cell r="AA365" t="b">
            <v>0</v>
          </cell>
          <cell r="AB365" t="b">
            <v>0</v>
          </cell>
          <cell r="AC365" t="b">
            <v>0</v>
          </cell>
        </row>
        <row r="366">
          <cell r="Y366" t="b">
            <v>0</v>
          </cell>
          <cell r="Z366" t="b">
            <v>0</v>
          </cell>
          <cell r="AA366" t="b">
            <v>0</v>
          </cell>
          <cell r="AB366" t="b">
            <v>0</v>
          </cell>
          <cell r="AC366" t="b">
            <v>0</v>
          </cell>
        </row>
        <row r="367">
          <cell r="Y367" t="b">
            <v>0</v>
          </cell>
          <cell r="Z367" t="b">
            <v>0</v>
          </cell>
          <cell r="AA367" t="b">
            <v>0</v>
          </cell>
          <cell r="AB367" t="b">
            <v>0</v>
          </cell>
          <cell r="AC367" t="b">
            <v>0</v>
          </cell>
        </row>
        <row r="368">
          <cell r="Y368" t="b">
            <v>0</v>
          </cell>
          <cell r="Z368" t="b">
            <v>0</v>
          </cell>
          <cell r="AA368" t="b">
            <v>0</v>
          </cell>
          <cell r="AB368" t="b">
            <v>0</v>
          </cell>
          <cell r="AC368" t="b">
            <v>0</v>
          </cell>
        </row>
        <row r="369">
          <cell r="Y369" t="b">
            <v>0</v>
          </cell>
          <cell r="Z369" t="b">
            <v>0</v>
          </cell>
          <cell r="AA369" t="b">
            <v>0</v>
          </cell>
          <cell r="AB369" t="b">
            <v>0</v>
          </cell>
          <cell r="AC369" t="b">
            <v>0</v>
          </cell>
        </row>
        <row r="370">
          <cell r="Y370" t="b">
            <v>0</v>
          </cell>
          <cell r="Z370" t="b">
            <v>0</v>
          </cell>
          <cell r="AA370" t="b">
            <v>0</v>
          </cell>
          <cell r="AB370" t="b">
            <v>0</v>
          </cell>
          <cell r="AC370" t="b">
            <v>0</v>
          </cell>
        </row>
        <row r="371">
          <cell r="Y371" t="b">
            <v>0</v>
          </cell>
          <cell r="Z371" t="b">
            <v>0</v>
          </cell>
          <cell r="AA371" t="b">
            <v>0</v>
          </cell>
          <cell r="AB371" t="b">
            <v>0</v>
          </cell>
          <cell r="AC371" t="b">
            <v>0</v>
          </cell>
        </row>
        <row r="372">
          <cell r="Y372" t="b">
            <v>0</v>
          </cell>
          <cell r="Z372" t="b">
            <v>0</v>
          </cell>
          <cell r="AA372" t="b">
            <v>0</v>
          </cell>
          <cell r="AB372" t="b">
            <v>0</v>
          </cell>
          <cell r="AC372" t="b">
            <v>0</v>
          </cell>
        </row>
        <row r="373">
          <cell r="Y373" t="b">
            <v>0</v>
          </cell>
          <cell r="Z373" t="b">
            <v>0</v>
          </cell>
          <cell r="AA373" t="b">
            <v>0</v>
          </cell>
          <cell r="AB373" t="b">
            <v>0</v>
          </cell>
          <cell r="AC373" t="b">
            <v>0</v>
          </cell>
        </row>
        <row r="374">
          <cell r="Y374" t="b">
            <v>0</v>
          </cell>
          <cell r="Z374" t="b">
            <v>0</v>
          </cell>
          <cell r="AA374" t="b">
            <v>0</v>
          </cell>
          <cell r="AB374" t="b">
            <v>0</v>
          </cell>
          <cell r="AC374" t="b">
            <v>0</v>
          </cell>
        </row>
        <row r="375">
          <cell r="Y375" t="b">
            <v>0</v>
          </cell>
          <cell r="Z375" t="b">
            <v>0</v>
          </cell>
          <cell r="AA375" t="b">
            <v>0</v>
          </cell>
          <cell r="AB375" t="b">
            <v>0</v>
          </cell>
          <cell r="AC375" t="b">
            <v>0</v>
          </cell>
        </row>
        <row r="376">
          <cell r="Y376" t="b">
            <v>0</v>
          </cell>
          <cell r="Z376" t="b">
            <v>0</v>
          </cell>
          <cell r="AA376" t="b">
            <v>0</v>
          </cell>
          <cell r="AB376" t="b">
            <v>0</v>
          </cell>
          <cell r="AC376" t="b">
            <v>0</v>
          </cell>
        </row>
        <row r="377">
          <cell r="Y377" t="b">
            <v>0</v>
          </cell>
          <cell r="Z377" t="b">
            <v>0</v>
          </cell>
          <cell r="AA377" t="b">
            <v>0</v>
          </cell>
          <cell r="AB377" t="b">
            <v>0</v>
          </cell>
          <cell r="AC377" t="b">
            <v>0</v>
          </cell>
        </row>
        <row r="378">
          <cell r="Y378" t="b">
            <v>0</v>
          </cell>
          <cell r="Z378" t="b">
            <v>0</v>
          </cell>
          <cell r="AA378" t="b">
            <v>0</v>
          </cell>
          <cell r="AB378" t="b">
            <v>0</v>
          </cell>
          <cell r="AC378" t="b">
            <v>0</v>
          </cell>
        </row>
        <row r="379">
          <cell r="Y379" t="b">
            <v>0</v>
          </cell>
          <cell r="Z379" t="b">
            <v>0</v>
          </cell>
          <cell r="AA379" t="b">
            <v>0</v>
          </cell>
          <cell r="AB379" t="b">
            <v>0</v>
          </cell>
          <cell r="AC379" t="b">
            <v>0</v>
          </cell>
        </row>
        <row r="380">
          <cell r="Y380" t="b">
            <v>0</v>
          </cell>
          <cell r="Z380" t="b">
            <v>0</v>
          </cell>
          <cell r="AA380" t="b">
            <v>0</v>
          </cell>
          <cell r="AB380" t="b">
            <v>0</v>
          </cell>
          <cell r="AC380" t="b">
            <v>0</v>
          </cell>
        </row>
        <row r="381">
          <cell r="Y381" t="b">
            <v>0</v>
          </cell>
          <cell r="Z381" t="b">
            <v>0</v>
          </cell>
          <cell r="AA381" t="b">
            <v>0</v>
          </cell>
          <cell r="AB381" t="b">
            <v>0</v>
          </cell>
          <cell r="AC381" t="b">
            <v>0</v>
          </cell>
        </row>
        <row r="382">
          <cell r="Y382" t="b">
            <v>0</v>
          </cell>
          <cell r="Z382" t="b">
            <v>0</v>
          </cell>
          <cell r="AA382" t="b">
            <v>0</v>
          </cell>
          <cell r="AB382" t="b">
            <v>0</v>
          </cell>
          <cell r="AC382" t="b">
            <v>0</v>
          </cell>
        </row>
        <row r="383">
          <cell r="Y383" t="b">
            <v>0</v>
          </cell>
          <cell r="Z383" t="b">
            <v>0</v>
          </cell>
          <cell r="AA383" t="b">
            <v>0</v>
          </cell>
          <cell r="AB383" t="b">
            <v>0</v>
          </cell>
          <cell r="AC383" t="b">
            <v>0</v>
          </cell>
        </row>
        <row r="384">
          <cell r="Y384" t="b">
            <v>0</v>
          </cell>
          <cell r="Z384" t="b">
            <v>0</v>
          </cell>
          <cell r="AA384" t="b">
            <v>0</v>
          </cell>
          <cell r="AB384" t="b">
            <v>0</v>
          </cell>
          <cell r="AC384" t="b">
            <v>0</v>
          </cell>
        </row>
        <row r="385">
          <cell r="Y385" t="b">
            <v>0</v>
          </cell>
          <cell r="Z385" t="b">
            <v>0</v>
          </cell>
          <cell r="AA385" t="b">
            <v>0</v>
          </cell>
          <cell r="AB385" t="b">
            <v>0</v>
          </cell>
          <cell r="AC385" t="b">
            <v>0</v>
          </cell>
        </row>
        <row r="386">
          <cell r="Y386" t="b">
            <v>0</v>
          </cell>
          <cell r="Z386" t="b">
            <v>0</v>
          </cell>
          <cell r="AA386" t="b">
            <v>0</v>
          </cell>
          <cell r="AB386" t="b">
            <v>0</v>
          </cell>
          <cell r="AC386" t="b">
            <v>0</v>
          </cell>
        </row>
        <row r="387">
          <cell r="Y387" t="b">
            <v>0</v>
          </cell>
          <cell r="Z387" t="b">
            <v>0</v>
          </cell>
          <cell r="AA387" t="b">
            <v>0</v>
          </cell>
          <cell r="AB387" t="b">
            <v>0</v>
          </cell>
          <cell r="AC387" t="b">
            <v>0</v>
          </cell>
        </row>
        <row r="388">
          <cell r="Y388" t="b">
            <v>0</v>
          </cell>
          <cell r="Z388" t="b">
            <v>0</v>
          </cell>
          <cell r="AA388" t="b">
            <v>0</v>
          </cell>
          <cell r="AB388" t="b">
            <v>0</v>
          </cell>
          <cell r="AC388" t="b">
            <v>0</v>
          </cell>
        </row>
        <row r="389">
          <cell r="Y389" t="b">
            <v>0</v>
          </cell>
          <cell r="Z389" t="b">
            <v>0</v>
          </cell>
          <cell r="AA389" t="b">
            <v>0</v>
          </cell>
          <cell r="AB389" t="b">
            <v>0</v>
          </cell>
          <cell r="AC389" t="b">
            <v>0</v>
          </cell>
        </row>
        <row r="390">
          <cell r="Y390" t="b">
            <v>0</v>
          </cell>
          <cell r="Z390" t="b">
            <v>0</v>
          </cell>
          <cell r="AA390" t="b">
            <v>0</v>
          </cell>
          <cell r="AB390" t="b">
            <v>0</v>
          </cell>
          <cell r="AC390" t="b">
            <v>0</v>
          </cell>
        </row>
        <row r="391">
          <cell r="Y391" t="b">
            <v>0</v>
          </cell>
          <cell r="Z391" t="b">
            <v>0</v>
          </cell>
          <cell r="AA391" t="b">
            <v>0</v>
          </cell>
          <cell r="AB391" t="b">
            <v>0</v>
          </cell>
          <cell r="AC391" t="b">
            <v>0</v>
          </cell>
        </row>
        <row r="392">
          <cell r="Y392" t="b">
            <v>0</v>
          </cell>
          <cell r="Z392" t="b">
            <v>0</v>
          </cell>
          <cell r="AA392" t="b">
            <v>0</v>
          </cell>
          <cell r="AB392" t="b">
            <v>0</v>
          </cell>
          <cell r="AC392" t="b">
            <v>0</v>
          </cell>
        </row>
        <row r="393">
          <cell r="Y393" t="b">
            <v>0</v>
          </cell>
          <cell r="Z393" t="b">
            <v>0</v>
          </cell>
          <cell r="AA393" t="b">
            <v>0</v>
          </cell>
          <cell r="AB393" t="b">
            <v>0</v>
          </cell>
          <cell r="AC393" t="b">
            <v>0</v>
          </cell>
        </row>
        <row r="394">
          <cell r="Y394" t="b">
            <v>0</v>
          </cell>
          <cell r="Z394" t="b">
            <v>0</v>
          </cell>
          <cell r="AA394" t="b">
            <v>0</v>
          </cell>
          <cell r="AB394" t="b">
            <v>0</v>
          </cell>
          <cell r="AC394" t="b">
            <v>0</v>
          </cell>
        </row>
        <row r="395">
          <cell r="Y395" t="b">
            <v>0</v>
          </cell>
          <cell r="Z395" t="b">
            <v>0</v>
          </cell>
          <cell r="AA395" t="b">
            <v>0</v>
          </cell>
          <cell r="AB395" t="b">
            <v>0</v>
          </cell>
          <cell r="AC395" t="b">
            <v>0</v>
          </cell>
        </row>
        <row r="396">
          <cell r="Y396" t="b">
            <v>0</v>
          </cell>
          <cell r="Z396" t="b">
            <v>0</v>
          </cell>
          <cell r="AA396" t="b">
            <v>0</v>
          </cell>
          <cell r="AB396" t="b">
            <v>0</v>
          </cell>
          <cell r="AC396" t="b">
            <v>0</v>
          </cell>
        </row>
        <row r="397">
          <cell r="Y397" t="b">
            <v>0</v>
          </cell>
          <cell r="Z397" t="b">
            <v>0</v>
          </cell>
          <cell r="AA397" t="b">
            <v>0</v>
          </cell>
          <cell r="AB397" t="b">
            <v>0</v>
          </cell>
          <cell r="AC397" t="b">
            <v>0</v>
          </cell>
        </row>
        <row r="398">
          <cell r="Y398" t="b">
            <v>0</v>
          </cell>
          <cell r="Z398" t="b">
            <v>0</v>
          </cell>
          <cell r="AA398" t="b">
            <v>0</v>
          </cell>
          <cell r="AB398" t="b">
            <v>0</v>
          </cell>
          <cell r="AC398" t="b">
            <v>0</v>
          </cell>
        </row>
        <row r="399">
          <cell r="Y399" t="b">
            <v>0</v>
          </cell>
          <cell r="Z399" t="b">
            <v>0</v>
          </cell>
          <cell r="AA399" t="b">
            <v>0</v>
          </cell>
          <cell r="AB399" t="b">
            <v>0</v>
          </cell>
          <cell r="AC399" t="b">
            <v>0</v>
          </cell>
        </row>
        <row r="400">
          <cell r="Y400" t="b">
            <v>0</v>
          </cell>
          <cell r="Z400" t="b">
            <v>0</v>
          </cell>
          <cell r="AA400" t="b">
            <v>0</v>
          </cell>
          <cell r="AB400" t="b">
            <v>0</v>
          </cell>
          <cell r="AC400" t="b">
            <v>0</v>
          </cell>
        </row>
        <row r="401">
          <cell r="Y401" t="b">
            <v>0</v>
          </cell>
          <cell r="Z401" t="b">
            <v>0</v>
          </cell>
          <cell r="AA401" t="b">
            <v>0</v>
          </cell>
          <cell r="AB401" t="b">
            <v>0</v>
          </cell>
          <cell r="AC401" t="b">
            <v>0</v>
          </cell>
        </row>
        <row r="402">
          <cell r="Y402" t="b">
            <v>0</v>
          </cell>
          <cell r="Z402" t="b">
            <v>0</v>
          </cell>
          <cell r="AA402" t="b">
            <v>0</v>
          </cell>
          <cell r="AB402" t="b">
            <v>0</v>
          </cell>
          <cell r="AC402" t="b">
            <v>0</v>
          </cell>
        </row>
        <row r="403">
          <cell r="Y403" t="b">
            <v>0</v>
          </cell>
          <cell r="Z403" t="b">
            <v>0</v>
          </cell>
          <cell r="AA403" t="b">
            <v>0</v>
          </cell>
          <cell r="AB403" t="b">
            <v>0</v>
          </cell>
          <cell r="AC403" t="b">
            <v>0</v>
          </cell>
        </row>
        <row r="404">
          <cell r="Y404" t="b">
            <v>0</v>
          </cell>
          <cell r="Z404" t="b">
            <v>0</v>
          </cell>
          <cell r="AA404" t="b">
            <v>0</v>
          </cell>
          <cell r="AB404" t="b">
            <v>0</v>
          </cell>
          <cell r="AC404" t="b">
            <v>0</v>
          </cell>
        </row>
        <row r="405">
          <cell r="Y405" t="b">
            <v>0</v>
          </cell>
          <cell r="Z405" t="b">
            <v>0</v>
          </cell>
          <cell r="AA405" t="b">
            <v>0</v>
          </cell>
          <cell r="AB405" t="b">
            <v>0</v>
          </cell>
          <cell r="AC405" t="b">
            <v>0</v>
          </cell>
        </row>
        <row r="406">
          <cell r="Y406" t="b">
            <v>0</v>
          </cell>
          <cell r="Z406" t="b">
            <v>0</v>
          </cell>
          <cell r="AA406" t="b">
            <v>0</v>
          </cell>
          <cell r="AB406" t="b">
            <v>0</v>
          </cell>
          <cell r="AC406" t="b">
            <v>0</v>
          </cell>
        </row>
        <row r="407">
          <cell r="Y407" t="b">
            <v>0</v>
          </cell>
          <cell r="Z407" t="b">
            <v>0</v>
          </cell>
          <cell r="AA407" t="b">
            <v>0</v>
          </cell>
          <cell r="AB407" t="b">
            <v>0</v>
          </cell>
          <cell r="AC407" t="b">
            <v>0</v>
          </cell>
        </row>
        <row r="408">
          <cell r="Y408" t="b">
            <v>0</v>
          </cell>
          <cell r="Z408" t="b">
            <v>0</v>
          </cell>
          <cell r="AA408" t="b">
            <v>0</v>
          </cell>
          <cell r="AB408" t="b">
            <v>0</v>
          </cell>
          <cell r="AC408" t="b">
            <v>0</v>
          </cell>
        </row>
        <row r="409">
          <cell r="Y409" t="b">
            <v>0</v>
          </cell>
          <cell r="Z409" t="b">
            <v>0</v>
          </cell>
          <cell r="AA409" t="b">
            <v>0</v>
          </cell>
          <cell r="AB409" t="b">
            <v>0</v>
          </cell>
          <cell r="AC409" t="b">
            <v>0</v>
          </cell>
        </row>
        <row r="410">
          <cell r="Y410" t="b">
            <v>0</v>
          </cell>
          <cell r="Z410" t="b">
            <v>0</v>
          </cell>
          <cell r="AA410" t="b">
            <v>0</v>
          </cell>
          <cell r="AB410" t="b">
            <v>0</v>
          </cell>
          <cell r="AC410" t="b">
            <v>0</v>
          </cell>
        </row>
        <row r="411">
          <cell r="Y411" t="b">
            <v>0</v>
          </cell>
          <cell r="Z411" t="b">
            <v>0</v>
          </cell>
          <cell r="AA411" t="b">
            <v>0</v>
          </cell>
          <cell r="AB411" t="b">
            <v>0</v>
          </cell>
          <cell r="AC411" t="b">
            <v>0</v>
          </cell>
        </row>
        <row r="412">
          <cell r="Y412" t="b">
            <v>0</v>
          </cell>
          <cell r="Z412" t="b">
            <v>0</v>
          </cell>
          <cell r="AA412" t="b">
            <v>0</v>
          </cell>
          <cell r="AB412" t="b">
            <v>0</v>
          </cell>
          <cell r="AC412" t="b">
            <v>0</v>
          </cell>
        </row>
        <row r="413">
          <cell r="Y413" t="b">
            <v>0</v>
          </cell>
          <cell r="Z413" t="b">
            <v>0</v>
          </cell>
          <cell r="AA413" t="b">
            <v>0</v>
          </cell>
          <cell r="AB413" t="b">
            <v>0</v>
          </cell>
          <cell r="AC413" t="b">
            <v>0</v>
          </cell>
        </row>
        <row r="414">
          <cell r="Y414" t="b">
            <v>0</v>
          </cell>
          <cell r="Z414" t="b">
            <v>0</v>
          </cell>
          <cell r="AA414" t="b">
            <v>0</v>
          </cell>
          <cell r="AB414" t="b">
            <v>0</v>
          </cell>
          <cell r="AC414" t="b">
            <v>0</v>
          </cell>
        </row>
        <row r="415">
          <cell r="Y415" t="b">
            <v>0</v>
          </cell>
          <cell r="Z415" t="b">
            <v>0</v>
          </cell>
          <cell r="AA415" t="b">
            <v>0</v>
          </cell>
          <cell r="AB415" t="b">
            <v>0</v>
          </cell>
          <cell r="AC415" t="b">
            <v>0</v>
          </cell>
        </row>
        <row r="416">
          <cell r="Y416" t="b">
            <v>0</v>
          </cell>
          <cell r="Z416" t="b">
            <v>0</v>
          </cell>
          <cell r="AA416" t="b">
            <v>0</v>
          </cell>
          <cell r="AB416" t="b">
            <v>0</v>
          </cell>
          <cell r="AC416" t="b">
            <v>0</v>
          </cell>
        </row>
        <row r="417">
          <cell r="Y417" t="b">
            <v>0</v>
          </cell>
          <cell r="Z417" t="b">
            <v>0</v>
          </cell>
          <cell r="AA417" t="b">
            <v>0</v>
          </cell>
          <cell r="AB417" t="b">
            <v>0</v>
          </cell>
          <cell r="AC417" t="b">
            <v>0</v>
          </cell>
        </row>
        <row r="418">
          <cell r="Y418" t="b">
            <v>0</v>
          </cell>
          <cell r="Z418" t="b">
            <v>0</v>
          </cell>
          <cell r="AA418" t="b">
            <v>0</v>
          </cell>
          <cell r="AB418" t="b">
            <v>0</v>
          </cell>
          <cell r="AC418" t="b">
            <v>0</v>
          </cell>
        </row>
        <row r="419">
          <cell r="Y419" t="b">
            <v>0</v>
          </cell>
          <cell r="Z419" t="b">
            <v>0</v>
          </cell>
          <cell r="AA419" t="b">
            <v>0</v>
          </cell>
          <cell r="AB419" t="b">
            <v>0</v>
          </cell>
          <cell r="AC419" t="b">
            <v>0</v>
          </cell>
        </row>
        <row r="420">
          <cell r="Y420" t="b">
            <v>0</v>
          </cell>
          <cell r="Z420" t="b">
            <v>0</v>
          </cell>
          <cell r="AA420" t="b">
            <v>0</v>
          </cell>
          <cell r="AB420" t="b">
            <v>0</v>
          </cell>
          <cell r="AC420" t="b">
            <v>0</v>
          </cell>
        </row>
        <row r="421">
          <cell r="Y421" t="b">
            <v>0</v>
          </cell>
          <cell r="Z421" t="b">
            <v>0</v>
          </cell>
          <cell r="AA421" t="b">
            <v>0</v>
          </cell>
          <cell r="AB421" t="b">
            <v>0</v>
          </cell>
          <cell r="AC421" t="b">
            <v>0</v>
          </cell>
        </row>
        <row r="422">
          <cell r="Y422" t="b">
            <v>0</v>
          </cell>
          <cell r="Z422" t="b">
            <v>0</v>
          </cell>
          <cell r="AA422" t="b">
            <v>0</v>
          </cell>
          <cell r="AB422" t="b">
            <v>0</v>
          </cell>
          <cell r="AC422" t="b">
            <v>0</v>
          </cell>
        </row>
        <row r="423">
          <cell r="Y423" t="b">
            <v>0</v>
          </cell>
          <cell r="Z423" t="b">
            <v>0</v>
          </cell>
          <cell r="AA423" t="b">
            <v>0</v>
          </cell>
          <cell r="AB423" t="b">
            <v>0</v>
          </cell>
          <cell r="AC423" t="b">
            <v>0</v>
          </cell>
        </row>
        <row r="424">
          <cell r="Y424" t="b">
            <v>0</v>
          </cell>
          <cell r="Z424" t="b">
            <v>0</v>
          </cell>
          <cell r="AA424" t="b">
            <v>0</v>
          </cell>
          <cell r="AB424" t="b">
            <v>0</v>
          </cell>
          <cell r="AC424" t="b">
            <v>0</v>
          </cell>
        </row>
        <row r="425">
          <cell r="Y425" t="b">
            <v>0</v>
          </cell>
          <cell r="Z425" t="b">
            <v>0</v>
          </cell>
          <cell r="AA425" t="b">
            <v>0</v>
          </cell>
          <cell r="AB425" t="b">
            <v>0</v>
          </cell>
          <cell r="AC425" t="b">
            <v>0</v>
          </cell>
        </row>
        <row r="426">
          <cell r="Y426" t="b">
            <v>0</v>
          </cell>
          <cell r="Z426" t="b">
            <v>0</v>
          </cell>
          <cell r="AA426" t="b">
            <v>0</v>
          </cell>
          <cell r="AB426" t="b">
            <v>0</v>
          </cell>
          <cell r="AC426" t="b">
            <v>0</v>
          </cell>
        </row>
        <row r="427">
          <cell r="Y427" t="b">
            <v>0</v>
          </cell>
          <cell r="Z427" t="b">
            <v>0</v>
          </cell>
          <cell r="AA427" t="b">
            <v>0</v>
          </cell>
          <cell r="AB427" t="b">
            <v>0</v>
          </cell>
          <cell r="AC427" t="b">
            <v>0</v>
          </cell>
        </row>
        <row r="428">
          <cell r="Y428" t="b">
            <v>0</v>
          </cell>
          <cell r="Z428" t="b">
            <v>0</v>
          </cell>
          <cell r="AA428" t="b">
            <v>0</v>
          </cell>
          <cell r="AB428" t="b">
            <v>0</v>
          </cell>
          <cell r="AC428" t="b">
            <v>0</v>
          </cell>
        </row>
        <row r="429">
          <cell r="Y429" t="b">
            <v>0</v>
          </cell>
          <cell r="Z429" t="b">
            <v>0</v>
          </cell>
          <cell r="AA429" t="b">
            <v>0</v>
          </cell>
          <cell r="AB429" t="b">
            <v>0</v>
          </cell>
          <cell r="AC429" t="b">
            <v>0</v>
          </cell>
        </row>
        <row r="430">
          <cell r="Y430" t="b">
            <v>0</v>
          </cell>
          <cell r="Z430" t="b">
            <v>0</v>
          </cell>
          <cell r="AA430" t="b">
            <v>0</v>
          </cell>
          <cell r="AB430" t="b">
            <v>0</v>
          </cell>
          <cell r="AC430" t="b">
            <v>0</v>
          </cell>
        </row>
        <row r="431">
          <cell r="Y431" t="b">
            <v>0</v>
          </cell>
          <cell r="Z431" t="b">
            <v>0</v>
          </cell>
          <cell r="AA431" t="b">
            <v>0</v>
          </cell>
          <cell r="AB431" t="b">
            <v>0</v>
          </cell>
          <cell r="AC431" t="b">
            <v>0</v>
          </cell>
        </row>
        <row r="432">
          <cell r="Y432" t="b">
            <v>0</v>
          </cell>
          <cell r="Z432" t="b">
            <v>0</v>
          </cell>
          <cell r="AA432" t="b">
            <v>0</v>
          </cell>
          <cell r="AB432" t="b">
            <v>0</v>
          </cell>
          <cell r="AC432" t="b">
            <v>0</v>
          </cell>
        </row>
        <row r="433">
          <cell r="Y433" t="b">
            <v>0</v>
          </cell>
          <cell r="Z433" t="b">
            <v>0</v>
          </cell>
          <cell r="AA433" t="b">
            <v>0</v>
          </cell>
          <cell r="AB433" t="b">
            <v>0</v>
          </cell>
          <cell r="AC433" t="b">
            <v>0</v>
          </cell>
        </row>
        <row r="434">
          <cell r="Y434" t="b">
            <v>0</v>
          </cell>
          <cell r="Z434" t="b">
            <v>0</v>
          </cell>
          <cell r="AA434" t="b">
            <v>0</v>
          </cell>
          <cell r="AB434" t="b">
            <v>0</v>
          </cell>
          <cell r="AC434" t="b">
            <v>0</v>
          </cell>
        </row>
        <row r="435">
          <cell r="Y435" t="b">
            <v>0</v>
          </cell>
          <cell r="Z435" t="b">
            <v>0</v>
          </cell>
          <cell r="AA435" t="b">
            <v>0</v>
          </cell>
          <cell r="AB435" t="b">
            <v>0</v>
          </cell>
          <cell r="AC435" t="b">
            <v>0</v>
          </cell>
        </row>
        <row r="436">
          <cell r="Y436" t="b">
            <v>0</v>
          </cell>
          <cell r="Z436" t="b">
            <v>0</v>
          </cell>
          <cell r="AA436" t="b">
            <v>0</v>
          </cell>
          <cell r="AB436" t="b">
            <v>0</v>
          </cell>
          <cell r="AC436" t="b">
            <v>0</v>
          </cell>
        </row>
        <row r="437">
          <cell r="Y437" t="b">
            <v>0</v>
          </cell>
          <cell r="Z437" t="b">
            <v>0</v>
          </cell>
          <cell r="AA437" t="b">
            <v>0</v>
          </cell>
          <cell r="AB437" t="b">
            <v>0</v>
          </cell>
          <cell r="AC437" t="b">
            <v>0</v>
          </cell>
        </row>
        <row r="438">
          <cell r="Y438" t="b">
            <v>0</v>
          </cell>
          <cell r="Z438" t="b">
            <v>0</v>
          </cell>
          <cell r="AA438" t="b">
            <v>0</v>
          </cell>
          <cell r="AB438" t="b">
            <v>0</v>
          </cell>
          <cell r="AC438" t="b">
            <v>0</v>
          </cell>
        </row>
        <row r="439">
          <cell r="Y439" t="b">
            <v>0</v>
          </cell>
          <cell r="Z439" t="b">
            <v>0</v>
          </cell>
          <cell r="AA439" t="b">
            <v>0</v>
          </cell>
          <cell r="AB439" t="b">
            <v>0</v>
          </cell>
          <cell r="AC439" t="b">
            <v>0</v>
          </cell>
        </row>
        <row r="440">
          <cell r="Y440" t="b">
            <v>0</v>
          </cell>
          <cell r="Z440" t="b">
            <v>0</v>
          </cell>
          <cell r="AA440" t="b">
            <v>0</v>
          </cell>
          <cell r="AB440" t="b">
            <v>0</v>
          </cell>
          <cell r="AC440" t="b">
            <v>0</v>
          </cell>
        </row>
        <row r="441">
          <cell r="Y441" t="b">
            <v>0</v>
          </cell>
          <cell r="Z441" t="b">
            <v>0</v>
          </cell>
          <cell r="AA441" t="b">
            <v>0</v>
          </cell>
          <cell r="AB441" t="b">
            <v>0</v>
          </cell>
          <cell r="AC441" t="b">
            <v>0</v>
          </cell>
        </row>
        <row r="442">
          <cell r="Y442" t="b">
            <v>0</v>
          </cell>
          <cell r="Z442" t="b">
            <v>0</v>
          </cell>
          <cell r="AA442" t="b">
            <v>0</v>
          </cell>
          <cell r="AB442" t="b">
            <v>0</v>
          </cell>
          <cell r="AC442" t="b">
            <v>0</v>
          </cell>
        </row>
        <row r="443">
          <cell r="Y443" t="b">
            <v>0</v>
          </cell>
          <cell r="Z443" t="b">
            <v>0</v>
          </cell>
          <cell r="AA443" t="b">
            <v>0</v>
          </cell>
          <cell r="AB443" t="b">
            <v>0</v>
          </cell>
          <cell r="AC443" t="b">
            <v>0</v>
          </cell>
        </row>
        <row r="444">
          <cell r="Y444" t="b">
            <v>0</v>
          </cell>
          <cell r="Z444" t="b">
            <v>0</v>
          </cell>
          <cell r="AA444" t="b">
            <v>0</v>
          </cell>
          <cell r="AB444" t="b">
            <v>0</v>
          </cell>
          <cell r="AC444" t="b">
            <v>0</v>
          </cell>
        </row>
        <row r="445">
          <cell r="Y445" t="b">
            <v>0</v>
          </cell>
          <cell r="Z445" t="b">
            <v>0</v>
          </cell>
          <cell r="AA445" t="b">
            <v>0</v>
          </cell>
          <cell r="AB445" t="b">
            <v>0</v>
          </cell>
          <cell r="AC445" t="b">
            <v>0</v>
          </cell>
        </row>
        <row r="446">
          <cell r="Y446" t="b">
            <v>0</v>
          </cell>
          <cell r="Z446" t="b">
            <v>0</v>
          </cell>
          <cell r="AA446" t="b">
            <v>0</v>
          </cell>
          <cell r="AB446" t="b">
            <v>0</v>
          </cell>
          <cell r="AC446" t="b">
            <v>0</v>
          </cell>
        </row>
        <row r="447">
          <cell r="Y447" t="b">
            <v>0</v>
          </cell>
          <cell r="Z447" t="b">
            <v>0</v>
          </cell>
          <cell r="AA447" t="b">
            <v>0</v>
          </cell>
          <cell r="AB447" t="b">
            <v>0</v>
          </cell>
          <cell r="AC447" t="b">
            <v>0</v>
          </cell>
        </row>
        <row r="448">
          <cell r="Y448" t="b">
            <v>0</v>
          </cell>
          <cell r="Z448" t="b">
            <v>0</v>
          </cell>
          <cell r="AA448" t="b">
            <v>0</v>
          </cell>
          <cell r="AB448" t="b">
            <v>0</v>
          </cell>
          <cell r="AC448" t="b">
            <v>0</v>
          </cell>
        </row>
        <row r="449">
          <cell r="Y449" t="b">
            <v>0</v>
          </cell>
          <cell r="Z449" t="b">
            <v>0</v>
          </cell>
          <cell r="AA449" t="b">
            <v>0</v>
          </cell>
          <cell r="AB449" t="b">
            <v>0</v>
          </cell>
          <cell r="AC449" t="b">
            <v>0</v>
          </cell>
        </row>
        <row r="450">
          <cell r="Y450" t="b">
            <v>0</v>
          </cell>
          <cell r="Z450" t="b">
            <v>0</v>
          </cell>
          <cell r="AA450" t="b">
            <v>0</v>
          </cell>
          <cell r="AB450" t="b">
            <v>0</v>
          </cell>
          <cell r="AC450" t="b">
            <v>0</v>
          </cell>
        </row>
        <row r="451">
          <cell r="Y451" t="b">
            <v>0</v>
          </cell>
          <cell r="Z451" t="b">
            <v>0</v>
          </cell>
          <cell r="AA451" t="b">
            <v>0</v>
          </cell>
          <cell r="AB451" t="b">
            <v>0</v>
          </cell>
          <cell r="AC451" t="b">
            <v>0</v>
          </cell>
        </row>
        <row r="452">
          <cell r="Y452" t="b">
            <v>0</v>
          </cell>
          <cell r="Z452" t="b">
            <v>0</v>
          </cell>
          <cell r="AA452" t="b">
            <v>0</v>
          </cell>
          <cell r="AB452" t="b">
            <v>0</v>
          </cell>
          <cell r="AC452" t="b">
            <v>0</v>
          </cell>
        </row>
        <row r="453">
          <cell r="Y453" t="b">
            <v>0</v>
          </cell>
          <cell r="Z453" t="b">
            <v>0</v>
          </cell>
          <cell r="AA453" t="b">
            <v>0</v>
          </cell>
          <cell r="AB453" t="b">
            <v>0</v>
          </cell>
          <cell r="AC453" t="b">
            <v>0</v>
          </cell>
        </row>
        <row r="454">
          <cell r="Y454" t="b">
            <v>0</v>
          </cell>
          <cell r="Z454" t="b">
            <v>0</v>
          </cell>
          <cell r="AA454" t="b">
            <v>0</v>
          </cell>
          <cell r="AB454" t="b">
            <v>0</v>
          </cell>
          <cell r="AC454" t="b">
            <v>0</v>
          </cell>
        </row>
        <row r="455">
          <cell r="Y455" t="b">
            <v>0</v>
          </cell>
          <cell r="Z455" t="b">
            <v>0</v>
          </cell>
          <cell r="AA455" t="b">
            <v>0</v>
          </cell>
          <cell r="AB455" t="b">
            <v>0</v>
          </cell>
          <cell r="AC455" t="b">
            <v>0</v>
          </cell>
        </row>
        <row r="456">
          <cell r="Y456" t="b">
            <v>0</v>
          </cell>
          <cell r="Z456" t="b">
            <v>0</v>
          </cell>
          <cell r="AA456" t="b">
            <v>0</v>
          </cell>
          <cell r="AB456" t="b">
            <v>0</v>
          </cell>
          <cell r="AC456" t="b">
            <v>0</v>
          </cell>
        </row>
        <row r="457">
          <cell r="Y457" t="b">
            <v>0</v>
          </cell>
          <cell r="Z457" t="b">
            <v>0</v>
          </cell>
          <cell r="AA457" t="b">
            <v>0</v>
          </cell>
          <cell r="AB457" t="b">
            <v>0</v>
          </cell>
          <cell r="AC457" t="b">
            <v>0</v>
          </cell>
        </row>
        <row r="458">
          <cell r="Y458" t="b">
            <v>0</v>
          </cell>
          <cell r="Z458" t="b">
            <v>0</v>
          </cell>
          <cell r="AA458" t="b">
            <v>0</v>
          </cell>
          <cell r="AB458" t="b">
            <v>0</v>
          </cell>
          <cell r="AC458" t="b">
            <v>0</v>
          </cell>
        </row>
        <row r="459">
          <cell r="Y459" t="b">
            <v>0</v>
          </cell>
          <cell r="Z459" t="b">
            <v>0</v>
          </cell>
          <cell r="AA459" t="b">
            <v>0</v>
          </cell>
          <cell r="AB459" t="b">
            <v>0</v>
          </cell>
          <cell r="AC459" t="b">
            <v>0</v>
          </cell>
        </row>
        <row r="460">
          <cell r="Y460" t="b">
            <v>0</v>
          </cell>
          <cell r="Z460" t="b">
            <v>0</v>
          </cell>
          <cell r="AA460" t="b">
            <v>0</v>
          </cell>
          <cell r="AB460" t="b">
            <v>0</v>
          </cell>
          <cell r="AC460" t="b">
            <v>0</v>
          </cell>
        </row>
        <row r="461">
          <cell r="Y461" t="b">
            <v>0</v>
          </cell>
          <cell r="Z461" t="b">
            <v>0</v>
          </cell>
          <cell r="AA461" t="b">
            <v>0</v>
          </cell>
          <cell r="AB461" t="b">
            <v>0</v>
          </cell>
          <cell r="AC461" t="b">
            <v>0</v>
          </cell>
        </row>
        <row r="462">
          <cell r="Y462" t="b">
            <v>0</v>
          </cell>
          <cell r="Z462" t="b">
            <v>0</v>
          </cell>
          <cell r="AA462" t="b">
            <v>0</v>
          </cell>
          <cell r="AB462" t="b">
            <v>0</v>
          </cell>
          <cell r="AC462" t="b">
            <v>0</v>
          </cell>
        </row>
        <row r="463">
          <cell r="Y463" t="b">
            <v>0</v>
          </cell>
          <cell r="Z463" t="b">
            <v>0</v>
          </cell>
          <cell r="AA463" t="b">
            <v>0</v>
          </cell>
          <cell r="AB463" t="b">
            <v>0</v>
          </cell>
          <cell r="AC463" t="b">
            <v>0</v>
          </cell>
        </row>
        <row r="464">
          <cell r="Y464" t="b">
            <v>0</v>
          </cell>
          <cell r="Z464" t="b">
            <v>0</v>
          </cell>
          <cell r="AA464" t="b">
            <v>0</v>
          </cell>
          <cell r="AB464" t="b">
            <v>0</v>
          </cell>
          <cell r="AC464" t="b">
            <v>0</v>
          </cell>
        </row>
        <row r="465">
          <cell r="Y465" t="b">
            <v>0</v>
          </cell>
          <cell r="Z465" t="b">
            <v>0</v>
          </cell>
          <cell r="AA465" t="b">
            <v>0</v>
          </cell>
          <cell r="AB465" t="b">
            <v>0</v>
          </cell>
          <cell r="AC465" t="b">
            <v>0</v>
          </cell>
        </row>
        <row r="466">
          <cell r="Y466" t="b">
            <v>0</v>
          </cell>
          <cell r="Z466" t="b">
            <v>0</v>
          </cell>
          <cell r="AA466" t="b">
            <v>0</v>
          </cell>
          <cell r="AB466" t="b">
            <v>0</v>
          </cell>
          <cell r="AC466" t="b">
            <v>0</v>
          </cell>
        </row>
        <row r="467">
          <cell r="Y467" t="b">
            <v>0</v>
          </cell>
          <cell r="Z467" t="b">
            <v>0</v>
          </cell>
          <cell r="AA467" t="b">
            <v>0</v>
          </cell>
          <cell r="AB467" t="b">
            <v>0</v>
          </cell>
          <cell r="AC467" t="b">
            <v>0</v>
          </cell>
        </row>
        <row r="468">
          <cell r="Y468" t="b">
            <v>0</v>
          </cell>
          <cell r="Z468" t="b">
            <v>0</v>
          </cell>
          <cell r="AA468" t="b">
            <v>0</v>
          </cell>
          <cell r="AB468" t="b">
            <v>0</v>
          </cell>
          <cell r="AC468" t="b">
            <v>0</v>
          </cell>
        </row>
        <row r="469">
          <cell r="Y469" t="b">
            <v>0</v>
          </cell>
          <cell r="Z469" t="b">
            <v>0</v>
          </cell>
          <cell r="AA469" t="b">
            <v>0</v>
          </cell>
          <cell r="AB469" t="b">
            <v>0</v>
          </cell>
          <cell r="AC469" t="b">
            <v>0</v>
          </cell>
        </row>
        <row r="470">
          <cell r="Y470" t="b">
            <v>0</v>
          </cell>
          <cell r="Z470" t="b">
            <v>0</v>
          </cell>
          <cell r="AA470" t="b">
            <v>0</v>
          </cell>
          <cell r="AB470" t="b">
            <v>0</v>
          </cell>
          <cell r="AC470" t="b">
            <v>0</v>
          </cell>
        </row>
        <row r="471">
          <cell r="Y471" t="b">
            <v>0</v>
          </cell>
          <cell r="Z471" t="b">
            <v>0</v>
          </cell>
          <cell r="AA471" t="b">
            <v>0</v>
          </cell>
          <cell r="AB471" t="b">
            <v>0</v>
          </cell>
          <cell r="AC471" t="b">
            <v>0</v>
          </cell>
        </row>
        <row r="472">
          <cell r="Y472" t="b">
            <v>0</v>
          </cell>
          <cell r="Z472" t="b">
            <v>0</v>
          </cell>
          <cell r="AA472" t="b">
            <v>0</v>
          </cell>
          <cell r="AB472" t="b">
            <v>0</v>
          </cell>
          <cell r="AC472" t="b">
            <v>0</v>
          </cell>
        </row>
        <row r="473">
          <cell r="Y473" t="b">
            <v>0</v>
          </cell>
          <cell r="Z473" t="b">
            <v>0</v>
          </cell>
          <cell r="AA473" t="b">
            <v>0</v>
          </cell>
          <cell r="AB473" t="b">
            <v>0</v>
          </cell>
          <cell r="AC473" t="b">
            <v>0</v>
          </cell>
        </row>
        <row r="474">
          <cell r="Y474" t="b">
            <v>0</v>
          </cell>
          <cell r="Z474" t="b">
            <v>0</v>
          </cell>
          <cell r="AA474" t="b">
            <v>0</v>
          </cell>
          <cell r="AB474" t="b">
            <v>0</v>
          </cell>
          <cell r="AC474" t="b">
            <v>0</v>
          </cell>
        </row>
        <row r="475">
          <cell r="Y475" t="b">
            <v>0</v>
          </cell>
          <cell r="Z475" t="b">
            <v>0</v>
          </cell>
          <cell r="AA475" t="b">
            <v>0</v>
          </cell>
          <cell r="AB475" t="b">
            <v>0</v>
          </cell>
          <cell r="AC475" t="b">
            <v>0</v>
          </cell>
        </row>
        <row r="476">
          <cell r="Y476" t="b">
            <v>0</v>
          </cell>
          <cell r="Z476" t="b">
            <v>0</v>
          </cell>
          <cell r="AA476" t="b">
            <v>0</v>
          </cell>
          <cell r="AB476" t="b">
            <v>0</v>
          </cell>
          <cell r="AC476" t="b">
            <v>0</v>
          </cell>
        </row>
        <row r="477">
          <cell r="Y477" t="b">
            <v>0</v>
          </cell>
          <cell r="Z477" t="b">
            <v>0</v>
          </cell>
          <cell r="AA477" t="b">
            <v>0</v>
          </cell>
          <cell r="AB477" t="b">
            <v>0</v>
          </cell>
          <cell r="AC477" t="b">
            <v>0</v>
          </cell>
        </row>
        <row r="478">
          <cell r="Y478" t="b">
            <v>0</v>
          </cell>
          <cell r="Z478" t="b">
            <v>0</v>
          </cell>
          <cell r="AA478" t="b">
            <v>0</v>
          </cell>
          <cell r="AB478" t="b">
            <v>0</v>
          </cell>
          <cell r="AC478" t="b">
            <v>0</v>
          </cell>
        </row>
        <row r="479">
          <cell r="Y479" t="b">
            <v>0</v>
          </cell>
          <cell r="Z479" t="b">
            <v>0</v>
          </cell>
          <cell r="AA479" t="b">
            <v>0</v>
          </cell>
          <cell r="AB479" t="b">
            <v>0</v>
          </cell>
          <cell r="AC479" t="b">
            <v>0</v>
          </cell>
        </row>
        <row r="480">
          <cell r="Y480" t="b">
            <v>0</v>
          </cell>
          <cell r="Z480" t="b">
            <v>0</v>
          </cell>
          <cell r="AA480" t="b">
            <v>0</v>
          </cell>
          <cell r="AB480" t="b">
            <v>0</v>
          </cell>
          <cell r="AC480" t="b">
            <v>0</v>
          </cell>
        </row>
        <row r="481">
          <cell r="Y481" t="b">
            <v>0</v>
          </cell>
          <cell r="Z481" t="b">
            <v>0</v>
          </cell>
          <cell r="AA481" t="b">
            <v>0</v>
          </cell>
          <cell r="AB481" t="b">
            <v>0</v>
          </cell>
          <cell r="AC481" t="b">
            <v>0</v>
          </cell>
        </row>
        <row r="482">
          <cell r="Y482" t="b">
            <v>0</v>
          </cell>
          <cell r="Z482" t="b">
            <v>0</v>
          </cell>
          <cell r="AA482" t="b">
            <v>0</v>
          </cell>
          <cell r="AB482" t="b">
            <v>0</v>
          </cell>
          <cell r="AC482" t="b">
            <v>0</v>
          </cell>
        </row>
        <row r="483">
          <cell r="Y483" t="b">
            <v>0</v>
          </cell>
          <cell r="Z483" t="b">
            <v>0</v>
          </cell>
          <cell r="AA483" t="b">
            <v>0</v>
          </cell>
          <cell r="AB483" t="b">
            <v>0</v>
          </cell>
          <cell r="AC483" t="b">
            <v>0</v>
          </cell>
        </row>
        <row r="484">
          <cell r="Y484" t="b">
            <v>0</v>
          </cell>
          <cell r="Z484" t="b">
            <v>0</v>
          </cell>
          <cell r="AA484" t="b">
            <v>0</v>
          </cell>
          <cell r="AB484" t="b">
            <v>0</v>
          </cell>
          <cell r="AC484" t="b">
            <v>0</v>
          </cell>
        </row>
        <row r="485">
          <cell r="Y485" t="b">
            <v>0</v>
          </cell>
          <cell r="Z485" t="b">
            <v>0</v>
          </cell>
          <cell r="AA485" t="b">
            <v>0</v>
          </cell>
          <cell r="AB485" t="b">
            <v>0</v>
          </cell>
          <cell r="AC485" t="b">
            <v>0</v>
          </cell>
        </row>
        <row r="486">
          <cell r="Y486" t="b">
            <v>0</v>
          </cell>
          <cell r="Z486" t="b">
            <v>0</v>
          </cell>
          <cell r="AA486" t="b">
            <v>0</v>
          </cell>
          <cell r="AB486" t="b">
            <v>0</v>
          </cell>
          <cell r="AC486" t="b">
            <v>0</v>
          </cell>
        </row>
        <row r="487">
          <cell r="Y487" t="b">
            <v>0</v>
          </cell>
          <cell r="Z487" t="b">
            <v>0</v>
          </cell>
          <cell r="AA487" t="b">
            <v>0</v>
          </cell>
          <cell r="AB487" t="b">
            <v>0</v>
          </cell>
          <cell r="AC487" t="b">
            <v>0</v>
          </cell>
        </row>
        <row r="488">
          <cell r="Y488" t="b">
            <v>0</v>
          </cell>
          <cell r="Z488" t="b">
            <v>0</v>
          </cell>
          <cell r="AA488" t="b">
            <v>0</v>
          </cell>
          <cell r="AB488" t="b">
            <v>0</v>
          </cell>
          <cell r="AC488" t="b">
            <v>0</v>
          </cell>
        </row>
        <row r="489">
          <cell r="Y489" t="b">
            <v>0</v>
          </cell>
          <cell r="Z489" t="b">
            <v>0</v>
          </cell>
          <cell r="AA489" t="b">
            <v>0</v>
          </cell>
          <cell r="AB489" t="b">
            <v>0</v>
          </cell>
          <cell r="AC489" t="b">
            <v>0</v>
          </cell>
        </row>
        <row r="490">
          <cell r="Y490" t="b">
            <v>0</v>
          </cell>
          <cell r="Z490" t="b">
            <v>0</v>
          </cell>
          <cell r="AA490" t="b">
            <v>0</v>
          </cell>
          <cell r="AB490" t="b">
            <v>0</v>
          </cell>
          <cell r="AC490" t="b">
            <v>0</v>
          </cell>
        </row>
        <row r="491">
          <cell r="Y491" t="b">
            <v>0</v>
          </cell>
          <cell r="Z491" t="b">
            <v>0</v>
          </cell>
          <cell r="AA491" t="b">
            <v>0</v>
          </cell>
          <cell r="AB491" t="b">
            <v>0</v>
          </cell>
          <cell r="AC491" t="b">
            <v>0</v>
          </cell>
        </row>
        <row r="492">
          <cell r="Y492" t="b">
            <v>0</v>
          </cell>
          <cell r="Z492" t="b">
            <v>0</v>
          </cell>
          <cell r="AA492" t="b">
            <v>0</v>
          </cell>
          <cell r="AB492" t="b">
            <v>0</v>
          </cell>
          <cell r="AC492" t="b">
            <v>0</v>
          </cell>
        </row>
        <row r="493">
          <cell r="Y493" t="b">
            <v>0</v>
          </cell>
          <cell r="Z493" t="b">
            <v>0</v>
          </cell>
          <cell r="AA493" t="b">
            <v>0</v>
          </cell>
          <cell r="AB493" t="b">
            <v>0</v>
          </cell>
          <cell r="AC493" t="b">
            <v>0</v>
          </cell>
        </row>
        <row r="494">
          <cell r="Y494" t="b">
            <v>0</v>
          </cell>
          <cell r="Z494" t="b">
            <v>0</v>
          </cell>
          <cell r="AA494" t="b">
            <v>0</v>
          </cell>
          <cell r="AB494" t="b">
            <v>0</v>
          </cell>
          <cell r="AC494" t="b">
            <v>0</v>
          </cell>
        </row>
        <row r="495">
          <cell r="Y495" t="b">
            <v>0</v>
          </cell>
          <cell r="Z495" t="b">
            <v>0</v>
          </cell>
          <cell r="AA495" t="b">
            <v>0</v>
          </cell>
          <cell r="AB495" t="b">
            <v>0</v>
          </cell>
          <cell r="AC495" t="b">
            <v>0</v>
          </cell>
        </row>
        <row r="496">
          <cell r="Y496" t="b">
            <v>0</v>
          </cell>
          <cell r="Z496" t="b">
            <v>0</v>
          </cell>
          <cell r="AA496" t="b">
            <v>0</v>
          </cell>
          <cell r="AB496" t="b">
            <v>0</v>
          </cell>
          <cell r="AC496" t="b">
            <v>0</v>
          </cell>
        </row>
        <row r="497">
          <cell r="Y497" t="b">
            <v>0</v>
          </cell>
          <cell r="Z497" t="b">
            <v>0</v>
          </cell>
          <cell r="AA497" t="b">
            <v>0</v>
          </cell>
          <cell r="AB497" t="b">
            <v>0</v>
          </cell>
          <cell r="AC497" t="b">
            <v>0</v>
          </cell>
        </row>
        <row r="498">
          <cell r="Y498" t="b">
            <v>0</v>
          </cell>
          <cell r="Z498" t="b">
            <v>0</v>
          </cell>
          <cell r="AA498" t="b">
            <v>0</v>
          </cell>
          <cell r="AB498" t="b">
            <v>0</v>
          </cell>
          <cell r="AC498" t="b">
            <v>0</v>
          </cell>
        </row>
        <row r="499">
          <cell r="Y499" t="b">
            <v>0</v>
          </cell>
          <cell r="Z499" t="b">
            <v>0</v>
          </cell>
          <cell r="AA499" t="b">
            <v>0</v>
          </cell>
          <cell r="AB499" t="b">
            <v>0</v>
          </cell>
          <cell r="AC499" t="b">
            <v>0</v>
          </cell>
        </row>
        <row r="500">
          <cell r="Y500" t="b">
            <v>0</v>
          </cell>
          <cell r="Z500" t="b">
            <v>0</v>
          </cell>
          <cell r="AA500" t="b">
            <v>0</v>
          </cell>
          <cell r="AB500" t="b">
            <v>0</v>
          </cell>
          <cell r="AC500" t="b">
            <v>0</v>
          </cell>
        </row>
        <row r="501">
          <cell r="Y501" t="b">
            <v>0</v>
          </cell>
          <cell r="Z501" t="b">
            <v>0</v>
          </cell>
          <cell r="AA501" t="b">
            <v>0</v>
          </cell>
          <cell r="AB501" t="b">
            <v>0</v>
          </cell>
          <cell r="AC501" t="b">
            <v>0</v>
          </cell>
        </row>
        <row r="502">
          <cell r="Y502" t="b">
            <v>0</v>
          </cell>
          <cell r="Z502" t="b">
            <v>0</v>
          </cell>
          <cell r="AA502" t="b">
            <v>0</v>
          </cell>
          <cell r="AB502" t="b">
            <v>0</v>
          </cell>
          <cell r="AC502" t="b">
            <v>0</v>
          </cell>
        </row>
        <row r="503">
          <cell r="Y503" t="b">
            <v>0</v>
          </cell>
          <cell r="Z503" t="b">
            <v>0</v>
          </cell>
          <cell r="AA503" t="b">
            <v>0</v>
          </cell>
          <cell r="AB503" t="b">
            <v>0</v>
          </cell>
          <cell r="AC503" t="b">
            <v>0</v>
          </cell>
        </row>
        <row r="504">
          <cell r="Y504" t="b">
            <v>0</v>
          </cell>
          <cell r="Z504" t="b">
            <v>0</v>
          </cell>
          <cell r="AA504" t="b">
            <v>0</v>
          </cell>
          <cell r="AB504" t="b">
            <v>0</v>
          </cell>
          <cell r="AC504" t="b">
            <v>0</v>
          </cell>
        </row>
        <row r="505">
          <cell r="Y505" t="b">
            <v>0</v>
          </cell>
          <cell r="Z505" t="b">
            <v>0</v>
          </cell>
          <cell r="AA505" t="b">
            <v>0</v>
          </cell>
          <cell r="AB505" t="b">
            <v>0</v>
          </cell>
          <cell r="AC505" t="b">
            <v>0</v>
          </cell>
        </row>
        <row r="506">
          <cell r="Y506" t="b">
            <v>0</v>
          </cell>
          <cell r="Z506" t="b">
            <v>0</v>
          </cell>
          <cell r="AA506" t="b">
            <v>0</v>
          </cell>
          <cell r="AB506" t="b">
            <v>0</v>
          </cell>
          <cell r="AC506" t="b">
            <v>0</v>
          </cell>
        </row>
        <row r="507">
          <cell r="Y507" t="b">
            <v>0</v>
          </cell>
          <cell r="Z507" t="b">
            <v>0</v>
          </cell>
          <cell r="AA507" t="b">
            <v>0</v>
          </cell>
          <cell r="AB507" t="b">
            <v>0</v>
          </cell>
          <cell r="AC507" t="b">
            <v>0</v>
          </cell>
        </row>
        <row r="508">
          <cell r="Y508" t="b">
            <v>0</v>
          </cell>
          <cell r="Z508" t="b">
            <v>0</v>
          </cell>
          <cell r="AA508" t="b">
            <v>0</v>
          </cell>
          <cell r="AB508" t="b">
            <v>0</v>
          </cell>
          <cell r="AC508" t="b">
            <v>0</v>
          </cell>
        </row>
        <row r="509">
          <cell r="Y509" t="b">
            <v>0</v>
          </cell>
          <cell r="Z509" t="b">
            <v>0</v>
          </cell>
          <cell r="AA509" t="b">
            <v>0</v>
          </cell>
          <cell r="AB509" t="b">
            <v>0</v>
          </cell>
          <cell r="AC509" t="b">
            <v>0</v>
          </cell>
        </row>
        <row r="510">
          <cell r="Y510" t="b">
            <v>0</v>
          </cell>
          <cell r="Z510" t="b">
            <v>0</v>
          </cell>
          <cell r="AA510" t="b">
            <v>0</v>
          </cell>
          <cell r="AB510" t="b">
            <v>0</v>
          </cell>
          <cell r="AC510" t="b">
            <v>0</v>
          </cell>
        </row>
        <row r="511">
          <cell r="Y511" t="b">
            <v>0</v>
          </cell>
          <cell r="Z511" t="b">
            <v>0</v>
          </cell>
          <cell r="AA511" t="b">
            <v>0</v>
          </cell>
          <cell r="AB511" t="b">
            <v>0</v>
          </cell>
          <cell r="AC511" t="b">
            <v>0</v>
          </cell>
        </row>
        <row r="512">
          <cell r="Y512" t="b">
            <v>0</v>
          </cell>
          <cell r="Z512" t="b">
            <v>0</v>
          </cell>
          <cell r="AA512" t="b">
            <v>0</v>
          </cell>
          <cell r="AB512" t="b">
            <v>0</v>
          </cell>
          <cell r="AC512" t="b">
            <v>0</v>
          </cell>
        </row>
        <row r="513">
          <cell r="Y513" t="b">
            <v>0</v>
          </cell>
          <cell r="Z513" t="b">
            <v>0</v>
          </cell>
          <cell r="AA513" t="b">
            <v>0</v>
          </cell>
          <cell r="AB513" t="b">
            <v>0</v>
          </cell>
          <cell r="AC513" t="b">
            <v>0</v>
          </cell>
        </row>
        <row r="514">
          <cell r="Y514" t="b">
            <v>0</v>
          </cell>
          <cell r="Z514" t="b">
            <v>0</v>
          </cell>
          <cell r="AA514" t="b">
            <v>0</v>
          </cell>
          <cell r="AB514" t="b">
            <v>0</v>
          </cell>
          <cell r="AC514" t="b">
            <v>0</v>
          </cell>
        </row>
        <row r="515">
          <cell r="Y515" t="b">
            <v>0</v>
          </cell>
          <cell r="Z515" t="b">
            <v>0</v>
          </cell>
          <cell r="AA515" t="b">
            <v>0</v>
          </cell>
          <cell r="AB515" t="b">
            <v>0</v>
          </cell>
          <cell r="AC515" t="b">
            <v>0</v>
          </cell>
        </row>
        <row r="516">
          <cell r="Y516" t="b">
            <v>0</v>
          </cell>
          <cell r="Z516" t="b">
            <v>0</v>
          </cell>
          <cell r="AA516" t="b">
            <v>0</v>
          </cell>
          <cell r="AB516" t="b">
            <v>0</v>
          </cell>
          <cell r="AC516" t="b">
            <v>0</v>
          </cell>
        </row>
        <row r="517">
          <cell r="Y517" t="b">
            <v>0</v>
          </cell>
          <cell r="Z517" t="b">
            <v>0</v>
          </cell>
          <cell r="AA517" t="b">
            <v>0</v>
          </cell>
          <cell r="AB517" t="b">
            <v>0</v>
          </cell>
          <cell r="AC517" t="b">
            <v>0</v>
          </cell>
        </row>
        <row r="518">
          <cell r="Y518" t="b">
            <v>0</v>
          </cell>
          <cell r="Z518" t="b">
            <v>0</v>
          </cell>
          <cell r="AA518" t="b">
            <v>0</v>
          </cell>
          <cell r="AB518" t="b">
            <v>0</v>
          </cell>
          <cell r="AC518" t="b">
            <v>0</v>
          </cell>
        </row>
        <row r="519">
          <cell r="Y519" t="b">
            <v>0</v>
          </cell>
          <cell r="Z519" t="b">
            <v>0</v>
          </cell>
          <cell r="AA519" t="b">
            <v>0</v>
          </cell>
          <cell r="AB519" t="b">
            <v>0</v>
          </cell>
          <cell r="AC519" t="b">
            <v>0</v>
          </cell>
        </row>
        <row r="520">
          <cell r="Y520" t="b">
            <v>0</v>
          </cell>
          <cell r="Z520" t="b">
            <v>0</v>
          </cell>
          <cell r="AA520" t="b">
            <v>0</v>
          </cell>
          <cell r="AB520" t="b">
            <v>0</v>
          </cell>
          <cell r="AC520" t="b">
            <v>0</v>
          </cell>
        </row>
        <row r="521">
          <cell r="Y521" t="b">
            <v>0</v>
          </cell>
          <cell r="Z521" t="b">
            <v>0</v>
          </cell>
          <cell r="AA521" t="b">
            <v>0</v>
          </cell>
          <cell r="AB521" t="b">
            <v>0</v>
          </cell>
          <cell r="AC521" t="b">
            <v>0</v>
          </cell>
        </row>
        <row r="522">
          <cell r="Y522" t="b">
            <v>0</v>
          </cell>
          <cell r="Z522" t="b">
            <v>0</v>
          </cell>
          <cell r="AA522" t="b">
            <v>0</v>
          </cell>
          <cell r="AB522" t="b">
            <v>0</v>
          </cell>
          <cell r="AC522" t="b">
            <v>0</v>
          </cell>
        </row>
        <row r="523">
          <cell r="Y523" t="b">
            <v>0</v>
          </cell>
          <cell r="Z523" t="b">
            <v>0</v>
          </cell>
          <cell r="AA523" t="b">
            <v>0</v>
          </cell>
          <cell r="AB523" t="b">
            <v>0</v>
          </cell>
          <cell r="AC523" t="b">
            <v>0</v>
          </cell>
        </row>
        <row r="524">
          <cell r="Y524" t="b">
            <v>0</v>
          </cell>
          <cell r="Z524" t="b">
            <v>0</v>
          </cell>
          <cell r="AA524" t="b">
            <v>0</v>
          </cell>
          <cell r="AB524" t="b">
            <v>0</v>
          </cell>
          <cell r="AC524" t="b">
            <v>0</v>
          </cell>
        </row>
        <row r="525">
          <cell r="Y525" t="b">
            <v>0</v>
          </cell>
          <cell r="Z525" t="b">
            <v>0</v>
          </cell>
          <cell r="AA525" t="b">
            <v>0</v>
          </cell>
          <cell r="AB525" t="b">
            <v>0</v>
          </cell>
          <cell r="AC525" t="b">
            <v>0</v>
          </cell>
        </row>
        <row r="526">
          <cell r="Y526" t="b">
            <v>0</v>
          </cell>
          <cell r="Z526" t="b">
            <v>0</v>
          </cell>
          <cell r="AA526" t="b">
            <v>0</v>
          </cell>
          <cell r="AB526" t="b">
            <v>0</v>
          </cell>
          <cell r="AC526" t="b">
            <v>0</v>
          </cell>
        </row>
        <row r="527">
          <cell r="Y527" t="b">
            <v>0</v>
          </cell>
          <cell r="Z527" t="b">
            <v>0</v>
          </cell>
          <cell r="AA527" t="b">
            <v>0</v>
          </cell>
          <cell r="AB527" t="b">
            <v>0</v>
          </cell>
          <cell r="AC527" t="b">
            <v>0</v>
          </cell>
        </row>
        <row r="528">
          <cell r="Y528" t="b">
            <v>0</v>
          </cell>
          <cell r="Z528" t="b">
            <v>0</v>
          </cell>
          <cell r="AA528" t="b">
            <v>0</v>
          </cell>
          <cell r="AB528" t="b">
            <v>0</v>
          </cell>
          <cell r="AC528" t="b">
            <v>0</v>
          </cell>
        </row>
        <row r="529">
          <cell r="Y529" t="b">
            <v>0</v>
          </cell>
          <cell r="Z529" t="b">
            <v>0</v>
          </cell>
          <cell r="AA529" t="b">
            <v>0</v>
          </cell>
          <cell r="AB529" t="b">
            <v>0</v>
          </cell>
          <cell r="AC529" t="b">
            <v>0</v>
          </cell>
        </row>
        <row r="530">
          <cell r="Y530" t="b">
            <v>0</v>
          </cell>
          <cell r="Z530" t="b">
            <v>0</v>
          </cell>
          <cell r="AA530" t="b">
            <v>0</v>
          </cell>
          <cell r="AB530" t="b">
            <v>0</v>
          </cell>
          <cell r="AC530" t="b">
            <v>0</v>
          </cell>
        </row>
        <row r="531">
          <cell r="Y531" t="b">
            <v>0</v>
          </cell>
          <cell r="Z531" t="b">
            <v>0</v>
          </cell>
          <cell r="AA531" t="b">
            <v>0</v>
          </cell>
          <cell r="AB531" t="b">
            <v>0</v>
          </cell>
          <cell r="AC531" t="b">
            <v>0</v>
          </cell>
        </row>
        <row r="532">
          <cell r="Y532" t="b">
            <v>0</v>
          </cell>
          <cell r="Z532" t="b">
            <v>0</v>
          </cell>
          <cell r="AA532" t="b">
            <v>0</v>
          </cell>
          <cell r="AB532" t="b">
            <v>0</v>
          </cell>
          <cell r="AC532" t="b">
            <v>0</v>
          </cell>
        </row>
        <row r="533">
          <cell r="Y533" t="b">
            <v>0</v>
          </cell>
          <cell r="Z533" t="b">
            <v>0</v>
          </cell>
          <cell r="AA533" t="b">
            <v>0</v>
          </cell>
          <cell r="AB533" t="b">
            <v>0</v>
          </cell>
          <cell r="AC533" t="b">
            <v>0</v>
          </cell>
        </row>
        <row r="534">
          <cell r="Y534" t="b">
            <v>0</v>
          </cell>
          <cell r="Z534" t="b">
            <v>0</v>
          </cell>
          <cell r="AA534" t="b">
            <v>0</v>
          </cell>
          <cell r="AB534" t="b">
            <v>0</v>
          </cell>
          <cell r="AC534" t="b">
            <v>0</v>
          </cell>
        </row>
        <row r="535">
          <cell r="Y535" t="b">
            <v>0</v>
          </cell>
          <cell r="Z535" t="b">
            <v>0</v>
          </cell>
          <cell r="AA535" t="b">
            <v>0</v>
          </cell>
          <cell r="AB535" t="b">
            <v>0</v>
          </cell>
          <cell r="AC535" t="b">
            <v>0</v>
          </cell>
        </row>
        <row r="536">
          <cell r="Y536" t="b">
            <v>0</v>
          </cell>
          <cell r="Z536" t="b">
            <v>0</v>
          </cell>
          <cell r="AA536" t="b">
            <v>0</v>
          </cell>
          <cell r="AB536" t="b">
            <v>0</v>
          </cell>
          <cell r="AC536" t="b">
            <v>0</v>
          </cell>
        </row>
        <row r="537">
          <cell r="Y537" t="b">
            <v>0</v>
          </cell>
          <cell r="Z537" t="b">
            <v>0</v>
          </cell>
          <cell r="AA537" t="b">
            <v>0</v>
          </cell>
          <cell r="AB537" t="b">
            <v>0</v>
          </cell>
          <cell r="AC537" t="b">
            <v>0</v>
          </cell>
        </row>
        <row r="538">
          <cell r="Y538" t="b">
            <v>0</v>
          </cell>
          <cell r="Z538" t="b">
            <v>0</v>
          </cell>
          <cell r="AA538" t="b">
            <v>0</v>
          </cell>
          <cell r="AB538" t="b">
            <v>0</v>
          </cell>
          <cell r="AC538" t="b">
            <v>0</v>
          </cell>
        </row>
        <row r="539">
          <cell r="Y539" t="b">
            <v>0</v>
          </cell>
          <cell r="Z539" t="b">
            <v>0</v>
          </cell>
          <cell r="AA539" t="b">
            <v>0</v>
          </cell>
          <cell r="AB539" t="b">
            <v>0</v>
          </cell>
          <cell r="AC539" t="b">
            <v>0</v>
          </cell>
        </row>
        <row r="540">
          <cell r="Y540" t="b">
            <v>0</v>
          </cell>
          <cell r="Z540" t="b">
            <v>0</v>
          </cell>
          <cell r="AA540" t="b">
            <v>0</v>
          </cell>
          <cell r="AB540" t="b">
            <v>0</v>
          </cell>
          <cell r="AC540" t="b">
            <v>0</v>
          </cell>
        </row>
        <row r="541">
          <cell r="Y541" t="b">
            <v>0</v>
          </cell>
          <cell r="Z541" t="b">
            <v>0</v>
          </cell>
          <cell r="AA541" t="b">
            <v>0</v>
          </cell>
          <cell r="AB541" t="b">
            <v>0</v>
          </cell>
          <cell r="AC541" t="b">
            <v>0</v>
          </cell>
        </row>
        <row r="542">
          <cell r="Y542" t="b">
            <v>0</v>
          </cell>
          <cell r="Z542" t="b">
            <v>0</v>
          </cell>
          <cell r="AA542" t="b">
            <v>0</v>
          </cell>
          <cell r="AB542" t="b">
            <v>0</v>
          </cell>
          <cell r="AC542" t="b">
            <v>0</v>
          </cell>
        </row>
        <row r="543">
          <cell r="Y543" t="b">
            <v>0</v>
          </cell>
          <cell r="Z543" t="b">
            <v>0</v>
          </cell>
          <cell r="AA543" t="b">
            <v>0</v>
          </cell>
          <cell r="AB543" t="b">
            <v>0</v>
          </cell>
          <cell r="AC543" t="b">
            <v>0</v>
          </cell>
        </row>
        <row r="544">
          <cell r="Y544" t="b">
            <v>0</v>
          </cell>
          <cell r="Z544" t="b">
            <v>0</v>
          </cell>
          <cell r="AA544" t="b">
            <v>0</v>
          </cell>
          <cell r="AB544" t="b">
            <v>0</v>
          </cell>
          <cell r="AC544" t="b">
            <v>0</v>
          </cell>
        </row>
        <row r="545">
          <cell r="Y545" t="b">
            <v>0</v>
          </cell>
          <cell r="Z545" t="b">
            <v>0</v>
          </cell>
          <cell r="AA545" t="b">
            <v>0</v>
          </cell>
          <cell r="AB545" t="b">
            <v>0</v>
          </cell>
          <cell r="AC545" t="b">
            <v>0</v>
          </cell>
        </row>
        <row r="546">
          <cell r="Y546" t="b">
            <v>0</v>
          </cell>
          <cell r="Z546" t="b">
            <v>0</v>
          </cell>
          <cell r="AA546" t="b">
            <v>0</v>
          </cell>
          <cell r="AB546" t="b">
            <v>0</v>
          </cell>
          <cell r="AC546" t="b">
            <v>0</v>
          </cell>
        </row>
        <row r="547">
          <cell r="Y547" t="b">
            <v>0</v>
          </cell>
          <cell r="Z547" t="b">
            <v>0</v>
          </cell>
          <cell r="AA547" t="b">
            <v>0</v>
          </cell>
          <cell r="AB547" t="b">
            <v>0</v>
          </cell>
          <cell r="AC547" t="b">
            <v>0</v>
          </cell>
        </row>
        <row r="548">
          <cell r="Y548" t="b">
            <v>0</v>
          </cell>
          <cell r="Z548" t="b">
            <v>0</v>
          </cell>
          <cell r="AA548" t="b">
            <v>0</v>
          </cell>
          <cell r="AB548" t="b">
            <v>0</v>
          </cell>
          <cell r="AC548" t="b">
            <v>0</v>
          </cell>
        </row>
        <row r="549">
          <cell r="Y549" t="b">
            <v>0</v>
          </cell>
          <cell r="Z549" t="b">
            <v>0</v>
          </cell>
          <cell r="AA549" t="b">
            <v>0</v>
          </cell>
          <cell r="AB549" t="b">
            <v>0</v>
          </cell>
          <cell r="AC549" t="b">
            <v>0</v>
          </cell>
        </row>
        <row r="550">
          <cell r="Y550" t="b">
            <v>0</v>
          </cell>
          <cell r="Z550" t="b">
            <v>0</v>
          </cell>
          <cell r="AA550" t="b">
            <v>0</v>
          </cell>
          <cell r="AB550" t="b">
            <v>0</v>
          </cell>
          <cell r="AC550" t="b">
            <v>0</v>
          </cell>
        </row>
        <row r="551">
          <cell r="Y551" t="b">
            <v>0</v>
          </cell>
          <cell r="Z551" t="b">
            <v>0</v>
          </cell>
          <cell r="AA551" t="b">
            <v>0</v>
          </cell>
          <cell r="AB551" t="b">
            <v>0</v>
          </cell>
          <cell r="AC551" t="b">
            <v>0</v>
          </cell>
        </row>
        <row r="552">
          <cell r="Y552" t="b">
            <v>0</v>
          </cell>
          <cell r="Z552" t="b">
            <v>0</v>
          </cell>
          <cell r="AA552" t="b">
            <v>0</v>
          </cell>
          <cell r="AB552" t="b">
            <v>0</v>
          </cell>
          <cell r="AC552" t="b">
            <v>0</v>
          </cell>
        </row>
        <row r="553">
          <cell r="Y553" t="b">
            <v>0</v>
          </cell>
          <cell r="Z553" t="b">
            <v>0</v>
          </cell>
          <cell r="AA553" t="b">
            <v>0</v>
          </cell>
          <cell r="AB553" t="b">
            <v>0</v>
          </cell>
          <cell r="AC553" t="b">
            <v>0</v>
          </cell>
        </row>
        <row r="554">
          <cell r="Y554" t="b">
            <v>0</v>
          </cell>
          <cell r="Z554" t="b">
            <v>0</v>
          </cell>
          <cell r="AA554" t="b">
            <v>0</v>
          </cell>
          <cell r="AB554" t="b">
            <v>0</v>
          </cell>
          <cell r="AC554" t="b">
            <v>0</v>
          </cell>
        </row>
        <row r="555">
          <cell r="Y555" t="b">
            <v>0</v>
          </cell>
          <cell r="Z555" t="b">
            <v>0</v>
          </cell>
          <cell r="AA555" t="b">
            <v>0</v>
          </cell>
          <cell r="AB555" t="b">
            <v>0</v>
          </cell>
          <cell r="AC555" t="b">
            <v>0</v>
          </cell>
        </row>
        <row r="556">
          <cell r="Y556" t="b">
            <v>0</v>
          </cell>
          <cell r="Z556" t="b">
            <v>0</v>
          </cell>
          <cell r="AA556" t="b">
            <v>0</v>
          </cell>
          <cell r="AB556" t="b">
            <v>0</v>
          </cell>
          <cell r="AC556" t="b">
            <v>0</v>
          </cell>
        </row>
        <row r="557">
          <cell r="Y557" t="b">
            <v>0</v>
          </cell>
          <cell r="Z557" t="b">
            <v>0</v>
          </cell>
          <cell r="AA557" t="b">
            <v>0</v>
          </cell>
          <cell r="AB557" t="b">
            <v>0</v>
          </cell>
          <cell r="AC557" t="b">
            <v>0</v>
          </cell>
        </row>
        <row r="558">
          <cell r="Y558" t="b">
            <v>0</v>
          </cell>
          <cell r="Z558" t="b">
            <v>0</v>
          </cell>
          <cell r="AA558" t="b">
            <v>0</v>
          </cell>
          <cell r="AB558" t="b">
            <v>0</v>
          </cell>
          <cell r="AC558" t="b">
            <v>0</v>
          </cell>
        </row>
        <row r="559">
          <cell r="Y559" t="b">
            <v>0</v>
          </cell>
          <cell r="Z559" t="b">
            <v>0</v>
          </cell>
          <cell r="AA559" t="b">
            <v>0</v>
          </cell>
          <cell r="AB559" t="b">
            <v>0</v>
          </cell>
          <cell r="AC559" t="b">
            <v>0</v>
          </cell>
        </row>
        <row r="560">
          <cell r="Y560" t="b">
            <v>0</v>
          </cell>
          <cell r="Z560" t="b">
            <v>0</v>
          </cell>
          <cell r="AA560" t="b">
            <v>0</v>
          </cell>
          <cell r="AB560" t="b">
            <v>0</v>
          </cell>
          <cell r="AC560" t="b">
            <v>0</v>
          </cell>
        </row>
        <row r="561">
          <cell r="Y561" t="b">
            <v>0</v>
          </cell>
          <cell r="Z561" t="b">
            <v>0</v>
          </cell>
          <cell r="AA561" t="b">
            <v>0</v>
          </cell>
          <cell r="AB561" t="b">
            <v>0</v>
          </cell>
          <cell r="AC561" t="b">
            <v>0</v>
          </cell>
        </row>
        <row r="562">
          <cell r="Y562" t="b">
            <v>0</v>
          </cell>
          <cell r="Z562" t="b">
            <v>0</v>
          </cell>
          <cell r="AA562" t="b">
            <v>0</v>
          </cell>
          <cell r="AB562" t="b">
            <v>0</v>
          </cell>
          <cell r="AC562" t="b">
            <v>0</v>
          </cell>
        </row>
        <row r="563">
          <cell r="Y563" t="b">
            <v>0</v>
          </cell>
          <cell r="Z563" t="b">
            <v>0</v>
          </cell>
          <cell r="AA563" t="b">
            <v>0</v>
          </cell>
          <cell r="AB563" t="b">
            <v>0</v>
          </cell>
          <cell r="AC563" t="b">
            <v>0</v>
          </cell>
        </row>
        <row r="564">
          <cell r="Y564" t="b">
            <v>0</v>
          </cell>
          <cell r="Z564" t="b">
            <v>0</v>
          </cell>
          <cell r="AA564" t="b">
            <v>0</v>
          </cell>
          <cell r="AB564" t="b">
            <v>0</v>
          </cell>
          <cell r="AC564" t="b">
            <v>0</v>
          </cell>
        </row>
        <row r="565">
          <cell r="Y565" t="b">
            <v>0</v>
          </cell>
          <cell r="Z565" t="b">
            <v>0</v>
          </cell>
          <cell r="AA565" t="b">
            <v>0</v>
          </cell>
          <cell r="AB565" t="b">
            <v>0</v>
          </cell>
          <cell r="AC565" t="b">
            <v>0</v>
          </cell>
        </row>
        <row r="566">
          <cell r="Y566" t="b">
            <v>0</v>
          </cell>
          <cell r="Z566" t="b">
            <v>0</v>
          </cell>
          <cell r="AA566" t="b">
            <v>0</v>
          </cell>
          <cell r="AB566" t="b">
            <v>0</v>
          </cell>
          <cell r="AC566" t="b">
            <v>0</v>
          </cell>
        </row>
        <row r="567">
          <cell r="Y567" t="b">
            <v>0</v>
          </cell>
          <cell r="Z567" t="b">
            <v>0</v>
          </cell>
          <cell r="AA567" t="b">
            <v>0</v>
          </cell>
          <cell r="AB567" t="b">
            <v>0</v>
          </cell>
          <cell r="AC567" t="b">
            <v>0</v>
          </cell>
        </row>
        <row r="568">
          <cell r="Y568" t="b">
            <v>0</v>
          </cell>
          <cell r="Z568" t="b">
            <v>0</v>
          </cell>
          <cell r="AA568" t="b">
            <v>0</v>
          </cell>
          <cell r="AB568" t="b">
            <v>0</v>
          </cell>
          <cell r="AC568" t="b">
            <v>0</v>
          </cell>
        </row>
        <row r="569">
          <cell r="Y569" t="b">
            <v>0</v>
          </cell>
          <cell r="Z569" t="b">
            <v>0</v>
          </cell>
          <cell r="AA569" t="b">
            <v>0</v>
          </cell>
          <cell r="AB569" t="b">
            <v>0</v>
          </cell>
          <cell r="AC569" t="b">
            <v>0</v>
          </cell>
        </row>
        <row r="570">
          <cell r="Y570" t="b">
            <v>0</v>
          </cell>
          <cell r="Z570" t="b">
            <v>0</v>
          </cell>
          <cell r="AA570" t="b">
            <v>0</v>
          </cell>
          <cell r="AB570" t="b">
            <v>0</v>
          </cell>
          <cell r="AC570" t="b">
            <v>0</v>
          </cell>
        </row>
        <row r="571">
          <cell r="Y571" t="b">
            <v>0</v>
          </cell>
          <cell r="Z571" t="b">
            <v>0</v>
          </cell>
          <cell r="AA571" t="b">
            <v>0</v>
          </cell>
          <cell r="AB571" t="b">
            <v>0</v>
          </cell>
          <cell r="AC571" t="b">
            <v>0</v>
          </cell>
        </row>
        <row r="572">
          <cell r="Y572" t="b">
            <v>0</v>
          </cell>
          <cell r="Z572" t="b">
            <v>0</v>
          </cell>
          <cell r="AA572" t="b">
            <v>0</v>
          </cell>
          <cell r="AB572" t="b">
            <v>0</v>
          </cell>
          <cell r="AC572" t="b">
            <v>0</v>
          </cell>
        </row>
        <row r="573">
          <cell r="Y573" t="b">
            <v>0</v>
          </cell>
          <cell r="Z573" t="b">
            <v>0</v>
          </cell>
          <cell r="AA573" t="b">
            <v>0</v>
          </cell>
          <cell r="AB573" t="b">
            <v>0</v>
          </cell>
          <cell r="AC573" t="b">
            <v>0</v>
          </cell>
        </row>
        <row r="574">
          <cell r="Y574" t="b">
            <v>0</v>
          </cell>
          <cell r="Z574" t="b">
            <v>0</v>
          </cell>
          <cell r="AA574" t="b">
            <v>0</v>
          </cell>
          <cell r="AB574" t="b">
            <v>0</v>
          </cell>
          <cell r="AC574" t="b">
            <v>0</v>
          </cell>
        </row>
        <row r="575">
          <cell r="Y575" t="b">
            <v>0</v>
          </cell>
          <cell r="Z575" t="b">
            <v>0</v>
          </cell>
          <cell r="AA575" t="b">
            <v>0</v>
          </cell>
          <cell r="AB575" t="b">
            <v>0</v>
          </cell>
          <cell r="AC575" t="b">
            <v>0</v>
          </cell>
        </row>
        <row r="576">
          <cell r="Y576" t="b">
            <v>0</v>
          </cell>
          <cell r="Z576" t="b">
            <v>0</v>
          </cell>
          <cell r="AA576" t="b">
            <v>0</v>
          </cell>
          <cell r="AB576" t="b">
            <v>0</v>
          </cell>
          <cell r="AC576" t="b">
            <v>0</v>
          </cell>
        </row>
        <row r="577">
          <cell r="Y577" t="b">
            <v>0</v>
          </cell>
          <cell r="Z577" t="b">
            <v>0</v>
          </cell>
          <cell r="AA577" t="b">
            <v>0</v>
          </cell>
          <cell r="AB577" t="b">
            <v>0</v>
          </cell>
          <cell r="AC577" t="b">
            <v>0</v>
          </cell>
        </row>
        <row r="578">
          <cell r="Y578" t="b">
            <v>0</v>
          </cell>
          <cell r="Z578" t="b">
            <v>0</v>
          </cell>
          <cell r="AA578" t="b">
            <v>0</v>
          </cell>
          <cell r="AB578" t="b">
            <v>0</v>
          </cell>
          <cell r="AC578" t="b">
            <v>0</v>
          </cell>
        </row>
        <row r="579">
          <cell r="Y579" t="b">
            <v>0</v>
          </cell>
          <cell r="Z579" t="b">
            <v>0</v>
          </cell>
          <cell r="AA579" t="b">
            <v>0</v>
          </cell>
          <cell r="AB579" t="b">
            <v>0</v>
          </cell>
          <cell r="AC579" t="b">
            <v>0</v>
          </cell>
        </row>
        <row r="580">
          <cell r="Y580" t="b">
            <v>0</v>
          </cell>
          <cell r="Z580" t="b">
            <v>0</v>
          </cell>
          <cell r="AA580" t="b">
            <v>0</v>
          </cell>
          <cell r="AB580" t="b">
            <v>0</v>
          </cell>
          <cell r="AC580" t="b">
            <v>0</v>
          </cell>
        </row>
        <row r="581">
          <cell r="Y581" t="b">
            <v>0</v>
          </cell>
          <cell r="Z581" t="b">
            <v>0</v>
          </cell>
          <cell r="AA581" t="b">
            <v>0</v>
          </cell>
          <cell r="AB581" t="b">
            <v>0</v>
          </cell>
          <cell r="AC581" t="b">
            <v>0</v>
          </cell>
        </row>
        <row r="582">
          <cell r="Y582" t="b">
            <v>0</v>
          </cell>
          <cell r="Z582" t="b">
            <v>0</v>
          </cell>
          <cell r="AA582" t="b">
            <v>0</v>
          </cell>
          <cell r="AB582" t="b">
            <v>0</v>
          </cell>
          <cell r="AC582" t="b">
            <v>0</v>
          </cell>
        </row>
        <row r="583">
          <cell r="Y583" t="b">
            <v>0</v>
          </cell>
          <cell r="Z583" t="b">
            <v>0</v>
          </cell>
          <cell r="AA583" t="b">
            <v>0</v>
          </cell>
          <cell r="AB583" t="b">
            <v>0</v>
          </cell>
          <cell r="AC583" t="b">
            <v>0</v>
          </cell>
        </row>
        <row r="584">
          <cell r="Y584" t="b">
            <v>0</v>
          </cell>
          <cell r="Z584" t="b">
            <v>0</v>
          </cell>
          <cell r="AA584" t="b">
            <v>0</v>
          </cell>
          <cell r="AB584" t="b">
            <v>0</v>
          </cell>
          <cell r="AC584" t="b">
            <v>0</v>
          </cell>
        </row>
        <row r="585">
          <cell r="Y585" t="b">
            <v>0</v>
          </cell>
          <cell r="Z585" t="b">
            <v>0</v>
          </cell>
          <cell r="AA585" t="b">
            <v>0</v>
          </cell>
          <cell r="AB585" t="b">
            <v>0</v>
          </cell>
          <cell r="AC585" t="b">
            <v>0</v>
          </cell>
        </row>
        <row r="586">
          <cell r="Y586" t="b">
            <v>0</v>
          </cell>
          <cell r="Z586" t="b">
            <v>0</v>
          </cell>
          <cell r="AA586" t="b">
            <v>0</v>
          </cell>
          <cell r="AB586" t="b">
            <v>0</v>
          </cell>
          <cell r="AC586" t="b">
            <v>0</v>
          </cell>
        </row>
        <row r="587">
          <cell r="Y587" t="b">
            <v>0</v>
          </cell>
          <cell r="Z587" t="b">
            <v>0</v>
          </cell>
          <cell r="AA587" t="b">
            <v>0</v>
          </cell>
          <cell r="AB587" t="b">
            <v>0</v>
          </cell>
          <cell r="AC587" t="b">
            <v>0</v>
          </cell>
        </row>
        <row r="588">
          <cell r="Y588" t="b">
            <v>0</v>
          </cell>
          <cell r="Z588" t="b">
            <v>0</v>
          </cell>
          <cell r="AA588" t="b">
            <v>0</v>
          </cell>
          <cell r="AB588" t="b">
            <v>0</v>
          </cell>
          <cell r="AC588" t="b">
            <v>0</v>
          </cell>
        </row>
        <row r="589">
          <cell r="Y589" t="b">
            <v>0</v>
          </cell>
          <cell r="Z589" t="b">
            <v>0</v>
          </cell>
          <cell r="AA589" t="b">
            <v>0</v>
          </cell>
          <cell r="AB589" t="b">
            <v>0</v>
          </cell>
          <cell r="AC589" t="b">
            <v>0</v>
          </cell>
        </row>
        <row r="590">
          <cell r="Y590" t="b">
            <v>0</v>
          </cell>
          <cell r="Z590" t="b">
            <v>0</v>
          </cell>
          <cell r="AA590" t="b">
            <v>0</v>
          </cell>
          <cell r="AB590" t="b">
            <v>0</v>
          </cell>
          <cell r="AC590" t="b">
            <v>0</v>
          </cell>
        </row>
        <row r="591">
          <cell r="Y591" t="b">
            <v>0</v>
          </cell>
          <cell r="Z591" t="b">
            <v>0</v>
          </cell>
          <cell r="AA591" t="b">
            <v>0</v>
          </cell>
          <cell r="AB591" t="b">
            <v>0</v>
          </cell>
          <cell r="AC591" t="b">
            <v>0</v>
          </cell>
        </row>
        <row r="592">
          <cell r="Y592" t="b">
            <v>0</v>
          </cell>
          <cell r="Z592" t="b">
            <v>0</v>
          </cell>
          <cell r="AA592" t="b">
            <v>0</v>
          </cell>
          <cell r="AB592" t="b">
            <v>0</v>
          </cell>
          <cell r="AC592" t="b">
            <v>0</v>
          </cell>
        </row>
        <row r="593">
          <cell r="Y593" t="b">
            <v>0</v>
          </cell>
          <cell r="Z593" t="b">
            <v>0</v>
          </cell>
          <cell r="AA593" t="b">
            <v>0</v>
          </cell>
          <cell r="AB593" t="b">
            <v>0</v>
          </cell>
          <cell r="AC593" t="b">
            <v>0</v>
          </cell>
        </row>
        <row r="594">
          <cell r="Y594" t="b">
            <v>0</v>
          </cell>
          <cell r="Z594" t="b">
            <v>0</v>
          </cell>
          <cell r="AA594" t="b">
            <v>0</v>
          </cell>
          <cell r="AB594" t="b">
            <v>0</v>
          </cell>
          <cell r="AC594" t="b">
            <v>0</v>
          </cell>
        </row>
        <row r="595">
          <cell r="Y595" t="b">
            <v>0</v>
          </cell>
          <cell r="Z595" t="b">
            <v>0</v>
          </cell>
          <cell r="AA595" t="b">
            <v>0</v>
          </cell>
          <cell r="AB595" t="b">
            <v>0</v>
          </cell>
          <cell r="AC595" t="b">
            <v>0</v>
          </cell>
        </row>
        <row r="596">
          <cell r="Y596" t="b">
            <v>0</v>
          </cell>
          <cell r="Z596" t="b">
            <v>0</v>
          </cell>
          <cell r="AA596" t="b">
            <v>0</v>
          </cell>
          <cell r="AB596" t="b">
            <v>0</v>
          </cell>
          <cell r="AC596" t="b">
            <v>0</v>
          </cell>
        </row>
        <row r="597">
          <cell r="Y597" t="b">
            <v>0</v>
          </cell>
          <cell r="Z597" t="b">
            <v>0</v>
          </cell>
          <cell r="AA597" t="b">
            <v>0</v>
          </cell>
          <cell r="AB597" t="b">
            <v>0</v>
          </cell>
          <cell r="AC597" t="b">
            <v>0</v>
          </cell>
        </row>
        <row r="598">
          <cell r="Y598" t="b">
            <v>0</v>
          </cell>
          <cell r="Z598" t="b">
            <v>0</v>
          </cell>
          <cell r="AA598" t="b">
            <v>0</v>
          </cell>
          <cell r="AB598" t="b">
            <v>0</v>
          </cell>
          <cell r="AC598" t="b">
            <v>0</v>
          </cell>
        </row>
        <row r="599">
          <cell r="Y599" t="b">
            <v>0</v>
          </cell>
          <cell r="Z599" t="b">
            <v>0</v>
          </cell>
          <cell r="AA599" t="b">
            <v>0</v>
          </cell>
          <cell r="AB599" t="b">
            <v>0</v>
          </cell>
          <cell r="AC599" t="b">
            <v>0</v>
          </cell>
        </row>
        <row r="600">
          <cell r="Y600" t="b">
            <v>0</v>
          </cell>
          <cell r="Z600" t="b">
            <v>0</v>
          </cell>
          <cell r="AA600" t="b">
            <v>0</v>
          </cell>
          <cell r="AB600" t="b">
            <v>0</v>
          </cell>
          <cell r="AC600" t="b">
            <v>0</v>
          </cell>
        </row>
        <row r="601">
          <cell r="Y601" t="b">
            <v>0</v>
          </cell>
          <cell r="Z601" t="b">
            <v>0</v>
          </cell>
          <cell r="AA601" t="b">
            <v>0</v>
          </cell>
          <cell r="AB601" t="b">
            <v>0</v>
          </cell>
          <cell r="AC601" t="b">
            <v>0</v>
          </cell>
        </row>
        <row r="602">
          <cell r="Y602" t="b">
            <v>0</v>
          </cell>
          <cell r="Z602" t="b">
            <v>0</v>
          </cell>
          <cell r="AA602" t="b">
            <v>0</v>
          </cell>
          <cell r="AB602" t="b">
            <v>0</v>
          </cell>
          <cell r="AC602" t="b">
            <v>0</v>
          </cell>
        </row>
        <row r="603">
          <cell r="Y603" t="b">
            <v>0</v>
          </cell>
          <cell r="Z603" t="b">
            <v>0</v>
          </cell>
          <cell r="AA603" t="b">
            <v>0</v>
          </cell>
          <cell r="AB603" t="b">
            <v>0</v>
          </cell>
          <cell r="AC603" t="b">
            <v>0</v>
          </cell>
        </row>
        <row r="604">
          <cell r="Y604" t="b">
            <v>0</v>
          </cell>
          <cell r="Z604" t="b">
            <v>0</v>
          </cell>
          <cell r="AA604" t="b">
            <v>0</v>
          </cell>
          <cell r="AB604" t="b">
            <v>0</v>
          </cell>
          <cell r="AC604" t="b">
            <v>0</v>
          </cell>
        </row>
        <row r="605">
          <cell r="Y605" t="b">
            <v>0</v>
          </cell>
          <cell r="Z605" t="b">
            <v>0</v>
          </cell>
          <cell r="AA605" t="b">
            <v>0</v>
          </cell>
          <cell r="AB605" t="b">
            <v>0</v>
          </cell>
          <cell r="AC605" t="b">
            <v>0</v>
          </cell>
        </row>
        <row r="606">
          <cell r="Y606" t="b">
            <v>0</v>
          </cell>
          <cell r="Z606" t="b">
            <v>0</v>
          </cell>
          <cell r="AA606" t="b">
            <v>0</v>
          </cell>
          <cell r="AB606" t="b">
            <v>0</v>
          </cell>
          <cell r="AC606" t="b">
            <v>0</v>
          </cell>
        </row>
        <row r="607">
          <cell r="Y607" t="b">
            <v>0</v>
          </cell>
          <cell r="Z607" t="b">
            <v>0</v>
          </cell>
          <cell r="AA607" t="b">
            <v>0</v>
          </cell>
          <cell r="AB607" t="b">
            <v>0</v>
          </cell>
          <cell r="AC607" t="b">
            <v>0</v>
          </cell>
        </row>
        <row r="608">
          <cell r="Y608" t="b">
            <v>0</v>
          </cell>
          <cell r="Z608" t="b">
            <v>0</v>
          </cell>
          <cell r="AA608" t="b">
            <v>0</v>
          </cell>
          <cell r="AB608" t="b">
            <v>0</v>
          </cell>
          <cell r="AC608" t="b">
            <v>0</v>
          </cell>
        </row>
        <row r="609">
          <cell r="Y609" t="b">
            <v>0</v>
          </cell>
          <cell r="Z609" t="b">
            <v>0</v>
          </cell>
          <cell r="AA609" t="b">
            <v>0</v>
          </cell>
          <cell r="AB609" t="b">
            <v>0</v>
          </cell>
          <cell r="AC609" t="b">
            <v>0</v>
          </cell>
        </row>
        <row r="610">
          <cell r="Y610" t="b">
            <v>0</v>
          </cell>
          <cell r="Z610" t="b">
            <v>0</v>
          </cell>
          <cell r="AA610" t="b">
            <v>0</v>
          </cell>
          <cell r="AB610" t="b">
            <v>0</v>
          </cell>
          <cell r="AC610" t="b">
            <v>0</v>
          </cell>
        </row>
        <row r="611">
          <cell r="Y611" t="b">
            <v>0</v>
          </cell>
          <cell r="Z611" t="b">
            <v>0</v>
          </cell>
          <cell r="AA611" t="b">
            <v>0</v>
          </cell>
          <cell r="AB611" t="b">
            <v>0</v>
          </cell>
          <cell r="AC611" t="b">
            <v>0</v>
          </cell>
        </row>
        <row r="612">
          <cell r="Y612" t="b">
            <v>0</v>
          </cell>
          <cell r="Z612" t="b">
            <v>0</v>
          </cell>
          <cell r="AA612" t="b">
            <v>0</v>
          </cell>
          <cell r="AB612" t="b">
            <v>0</v>
          </cell>
          <cell r="AC612" t="b">
            <v>0</v>
          </cell>
        </row>
        <row r="613">
          <cell r="Y613" t="b">
            <v>0</v>
          </cell>
          <cell r="Z613" t="b">
            <v>0</v>
          </cell>
          <cell r="AA613" t="b">
            <v>0</v>
          </cell>
          <cell r="AB613" t="b">
            <v>0</v>
          </cell>
          <cell r="AC613" t="b">
            <v>0</v>
          </cell>
        </row>
        <row r="614">
          <cell r="Y614" t="b">
            <v>0</v>
          </cell>
          <cell r="Z614" t="b">
            <v>0</v>
          </cell>
          <cell r="AA614" t="b">
            <v>0</v>
          </cell>
          <cell r="AB614" t="b">
            <v>0</v>
          </cell>
          <cell r="AC614" t="b">
            <v>0</v>
          </cell>
        </row>
        <row r="615">
          <cell r="Y615" t="b">
            <v>0</v>
          </cell>
          <cell r="Z615" t="b">
            <v>0</v>
          </cell>
          <cell r="AA615" t="b">
            <v>0</v>
          </cell>
          <cell r="AB615" t="b">
            <v>0</v>
          </cell>
          <cell r="AC615" t="b">
            <v>0</v>
          </cell>
        </row>
        <row r="616">
          <cell r="Y616" t="b">
            <v>0</v>
          </cell>
          <cell r="Z616" t="b">
            <v>0</v>
          </cell>
          <cell r="AA616" t="b">
            <v>0</v>
          </cell>
          <cell r="AB616" t="b">
            <v>0</v>
          </cell>
          <cell r="AC616" t="b">
            <v>0</v>
          </cell>
        </row>
        <row r="617">
          <cell r="Y617" t="b">
            <v>0</v>
          </cell>
          <cell r="Z617" t="b">
            <v>0</v>
          </cell>
          <cell r="AA617" t="b">
            <v>0</v>
          </cell>
          <cell r="AB617" t="b">
            <v>0</v>
          </cell>
          <cell r="AC617" t="b">
            <v>0</v>
          </cell>
        </row>
        <row r="618">
          <cell r="Y618" t="b">
            <v>0</v>
          </cell>
          <cell r="Z618" t="b">
            <v>0</v>
          </cell>
          <cell r="AA618" t="b">
            <v>0</v>
          </cell>
          <cell r="AB618" t="b">
            <v>0</v>
          </cell>
          <cell r="AC618" t="b">
            <v>0</v>
          </cell>
        </row>
        <row r="619">
          <cell r="Y619" t="b">
            <v>0</v>
          </cell>
          <cell r="Z619" t="b">
            <v>0</v>
          </cell>
          <cell r="AA619" t="b">
            <v>0</v>
          </cell>
          <cell r="AB619" t="b">
            <v>0</v>
          </cell>
          <cell r="AC619" t="b">
            <v>0</v>
          </cell>
        </row>
        <row r="620">
          <cell r="Y620" t="b">
            <v>0</v>
          </cell>
          <cell r="Z620" t="b">
            <v>0</v>
          </cell>
          <cell r="AA620" t="b">
            <v>0</v>
          </cell>
          <cell r="AB620" t="b">
            <v>0</v>
          </cell>
          <cell r="AC620" t="b">
            <v>0</v>
          </cell>
        </row>
        <row r="621">
          <cell r="Y621" t="b">
            <v>0</v>
          </cell>
          <cell r="Z621" t="b">
            <v>0</v>
          </cell>
          <cell r="AA621" t="b">
            <v>0</v>
          </cell>
          <cell r="AB621" t="b">
            <v>0</v>
          </cell>
          <cell r="AC621" t="b">
            <v>0</v>
          </cell>
        </row>
        <row r="622">
          <cell r="Y622" t="b">
            <v>0</v>
          </cell>
          <cell r="Z622" t="b">
            <v>0</v>
          </cell>
          <cell r="AA622" t="b">
            <v>0</v>
          </cell>
          <cell r="AB622" t="b">
            <v>0</v>
          </cell>
          <cell r="AC622" t="b">
            <v>0</v>
          </cell>
        </row>
        <row r="623">
          <cell r="Y623" t="b">
            <v>0</v>
          </cell>
          <cell r="Z623" t="b">
            <v>0</v>
          </cell>
          <cell r="AA623" t="b">
            <v>0</v>
          </cell>
          <cell r="AB623" t="b">
            <v>0</v>
          </cell>
          <cell r="AC623" t="b">
            <v>0</v>
          </cell>
        </row>
        <row r="624">
          <cell r="Y624" t="b">
            <v>0</v>
          </cell>
          <cell r="Z624" t="b">
            <v>0</v>
          </cell>
          <cell r="AA624" t="b">
            <v>0</v>
          </cell>
          <cell r="AB624" t="b">
            <v>0</v>
          </cell>
          <cell r="AC624" t="b">
            <v>0</v>
          </cell>
        </row>
        <row r="625">
          <cell r="Y625" t="b">
            <v>0</v>
          </cell>
          <cell r="Z625" t="b">
            <v>0</v>
          </cell>
          <cell r="AA625" t="b">
            <v>0</v>
          </cell>
          <cell r="AB625" t="b">
            <v>0</v>
          </cell>
          <cell r="AC625" t="b">
            <v>0</v>
          </cell>
        </row>
        <row r="626">
          <cell r="Y626" t="b">
            <v>0</v>
          </cell>
          <cell r="Z626" t="b">
            <v>0</v>
          </cell>
          <cell r="AA626" t="b">
            <v>0</v>
          </cell>
          <cell r="AB626" t="b">
            <v>0</v>
          </cell>
          <cell r="AC626" t="b">
            <v>0</v>
          </cell>
        </row>
        <row r="627">
          <cell r="Y627" t="b">
            <v>0</v>
          </cell>
          <cell r="Z627" t="b">
            <v>0</v>
          </cell>
          <cell r="AA627" t="b">
            <v>0</v>
          </cell>
          <cell r="AB627" t="b">
            <v>0</v>
          </cell>
          <cell r="AC627" t="b">
            <v>0</v>
          </cell>
        </row>
        <row r="628">
          <cell r="Y628" t="b">
            <v>0</v>
          </cell>
          <cell r="Z628" t="b">
            <v>0</v>
          </cell>
          <cell r="AA628" t="b">
            <v>0</v>
          </cell>
          <cell r="AB628" t="b">
            <v>0</v>
          </cell>
          <cell r="AC628" t="b">
            <v>0</v>
          </cell>
        </row>
        <row r="629">
          <cell r="Y629" t="b">
            <v>0</v>
          </cell>
          <cell r="Z629" t="b">
            <v>0</v>
          </cell>
          <cell r="AA629" t="b">
            <v>0</v>
          </cell>
          <cell r="AB629" t="b">
            <v>0</v>
          </cell>
          <cell r="AC629" t="b">
            <v>0</v>
          </cell>
        </row>
        <row r="630">
          <cell r="Y630" t="b">
            <v>0</v>
          </cell>
          <cell r="Z630" t="b">
            <v>0</v>
          </cell>
          <cell r="AA630" t="b">
            <v>0</v>
          </cell>
          <cell r="AB630" t="b">
            <v>0</v>
          </cell>
          <cell r="AC630" t="b">
            <v>0</v>
          </cell>
        </row>
        <row r="631">
          <cell r="Y631" t="b">
            <v>0</v>
          </cell>
          <cell r="Z631" t="b">
            <v>0</v>
          </cell>
          <cell r="AA631" t="b">
            <v>0</v>
          </cell>
          <cell r="AB631" t="b">
            <v>0</v>
          </cell>
          <cell r="AC631" t="b">
            <v>0</v>
          </cell>
        </row>
        <row r="632">
          <cell r="Y632" t="b">
            <v>0</v>
          </cell>
          <cell r="Z632" t="b">
            <v>0</v>
          </cell>
          <cell r="AA632" t="b">
            <v>0</v>
          </cell>
          <cell r="AB632" t="b">
            <v>0</v>
          </cell>
          <cell r="AC632" t="b">
            <v>0</v>
          </cell>
        </row>
        <row r="633">
          <cell r="Y633" t="b">
            <v>0</v>
          </cell>
          <cell r="Z633" t="b">
            <v>0</v>
          </cell>
          <cell r="AA633" t="b">
            <v>0</v>
          </cell>
          <cell r="AB633" t="b">
            <v>0</v>
          </cell>
          <cell r="AC633" t="b">
            <v>0</v>
          </cell>
        </row>
        <row r="634">
          <cell r="Y634" t="b">
            <v>0</v>
          </cell>
          <cell r="Z634" t="b">
            <v>0</v>
          </cell>
          <cell r="AA634" t="b">
            <v>0</v>
          </cell>
          <cell r="AB634" t="b">
            <v>0</v>
          </cell>
          <cell r="AC634" t="b">
            <v>0</v>
          </cell>
        </row>
        <row r="635">
          <cell r="Y635" t="b">
            <v>0</v>
          </cell>
          <cell r="Z635" t="b">
            <v>0</v>
          </cell>
          <cell r="AA635" t="b">
            <v>0</v>
          </cell>
          <cell r="AB635" t="b">
            <v>0</v>
          </cell>
          <cell r="AC635" t="b">
            <v>0</v>
          </cell>
        </row>
        <row r="636">
          <cell r="Y636" t="b">
            <v>0</v>
          </cell>
          <cell r="Z636" t="b">
            <v>0</v>
          </cell>
          <cell r="AA636" t="b">
            <v>0</v>
          </cell>
          <cell r="AB636" t="b">
            <v>0</v>
          </cell>
          <cell r="AC636" t="b">
            <v>0</v>
          </cell>
        </row>
        <row r="637">
          <cell r="Y637" t="b">
            <v>0</v>
          </cell>
          <cell r="Z637" t="b">
            <v>0</v>
          </cell>
          <cell r="AA637" t="b">
            <v>0</v>
          </cell>
          <cell r="AB637" t="b">
            <v>0</v>
          </cell>
          <cell r="AC637" t="b">
            <v>0</v>
          </cell>
        </row>
        <row r="638">
          <cell r="Y638" t="b">
            <v>0</v>
          </cell>
          <cell r="Z638" t="b">
            <v>0</v>
          </cell>
          <cell r="AA638" t="b">
            <v>0</v>
          </cell>
          <cell r="AB638" t="b">
            <v>0</v>
          </cell>
          <cell r="AC638" t="b">
            <v>0</v>
          </cell>
        </row>
        <row r="639">
          <cell r="Y639" t="b">
            <v>0</v>
          </cell>
          <cell r="Z639" t="b">
            <v>0</v>
          </cell>
          <cell r="AA639" t="b">
            <v>0</v>
          </cell>
          <cell r="AB639" t="b">
            <v>0</v>
          </cell>
          <cell r="AC639" t="b">
            <v>0</v>
          </cell>
        </row>
        <row r="640">
          <cell r="Y640" t="b">
            <v>0</v>
          </cell>
          <cell r="Z640" t="b">
            <v>0</v>
          </cell>
          <cell r="AA640" t="b">
            <v>0</v>
          </cell>
          <cell r="AB640" t="b">
            <v>0</v>
          </cell>
          <cell r="AC640" t="b">
            <v>0</v>
          </cell>
        </row>
        <row r="641">
          <cell r="Y641" t="b">
            <v>0</v>
          </cell>
          <cell r="Z641" t="b">
            <v>0</v>
          </cell>
          <cell r="AA641" t="b">
            <v>0</v>
          </cell>
          <cell r="AB641" t="b">
            <v>0</v>
          </cell>
          <cell r="AC641" t="b">
            <v>0</v>
          </cell>
        </row>
        <row r="642">
          <cell r="Y642" t="b">
            <v>0</v>
          </cell>
          <cell r="Z642" t="b">
            <v>0</v>
          </cell>
          <cell r="AA642" t="b">
            <v>0</v>
          </cell>
          <cell r="AB642" t="b">
            <v>0</v>
          </cell>
          <cell r="AC642" t="b">
            <v>0</v>
          </cell>
        </row>
        <row r="643">
          <cell r="Y643" t="b">
            <v>0</v>
          </cell>
          <cell r="Z643" t="b">
            <v>0</v>
          </cell>
          <cell r="AA643" t="b">
            <v>0</v>
          </cell>
          <cell r="AB643" t="b">
            <v>0</v>
          </cell>
          <cell r="AC643" t="b">
            <v>0</v>
          </cell>
        </row>
        <row r="644">
          <cell r="Y644" t="b">
            <v>0</v>
          </cell>
          <cell r="Z644" t="b">
            <v>0</v>
          </cell>
          <cell r="AA644" t="b">
            <v>0</v>
          </cell>
          <cell r="AB644" t="b">
            <v>0</v>
          </cell>
          <cell r="AC644" t="b">
            <v>0</v>
          </cell>
        </row>
        <row r="645">
          <cell r="Y645" t="b">
            <v>0</v>
          </cell>
          <cell r="Z645" t="b">
            <v>0</v>
          </cell>
          <cell r="AA645" t="b">
            <v>0</v>
          </cell>
          <cell r="AB645" t="b">
            <v>0</v>
          </cell>
          <cell r="AC645" t="b">
            <v>0</v>
          </cell>
        </row>
        <row r="646">
          <cell r="Y646" t="b">
            <v>0</v>
          </cell>
          <cell r="Z646" t="b">
            <v>0</v>
          </cell>
          <cell r="AA646" t="b">
            <v>0</v>
          </cell>
          <cell r="AB646" t="b">
            <v>0</v>
          </cell>
          <cell r="AC646" t="b">
            <v>0</v>
          </cell>
        </row>
        <row r="647">
          <cell r="Y647" t="b">
            <v>0</v>
          </cell>
          <cell r="Z647" t="b">
            <v>0</v>
          </cell>
          <cell r="AA647" t="b">
            <v>0</v>
          </cell>
          <cell r="AB647" t="b">
            <v>0</v>
          </cell>
          <cell r="AC647" t="b">
            <v>0</v>
          </cell>
        </row>
        <row r="648">
          <cell r="Y648" t="b">
            <v>0</v>
          </cell>
          <cell r="Z648" t="b">
            <v>0</v>
          </cell>
          <cell r="AA648" t="b">
            <v>0</v>
          </cell>
          <cell r="AB648" t="b">
            <v>0</v>
          </cell>
          <cell r="AC648" t="b">
            <v>0</v>
          </cell>
        </row>
        <row r="649">
          <cell r="Y649" t="b">
            <v>0</v>
          </cell>
          <cell r="Z649" t="b">
            <v>0</v>
          </cell>
          <cell r="AA649" t="b">
            <v>0</v>
          </cell>
          <cell r="AB649" t="b">
            <v>0</v>
          </cell>
          <cell r="AC649" t="b">
            <v>0</v>
          </cell>
        </row>
        <row r="650">
          <cell r="Y650" t="b">
            <v>0</v>
          </cell>
          <cell r="Z650" t="b">
            <v>0</v>
          </cell>
          <cell r="AA650" t="b">
            <v>0</v>
          </cell>
          <cell r="AB650" t="b">
            <v>0</v>
          </cell>
          <cell r="AC650" t="b">
            <v>0</v>
          </cell>
        </row>
        <row r="651">
          <cell r="Y651" t="b">
            <v>0</v>
          </cell>
          <cell r="Z651" t="b">
            <v>0</v>
          </cell>
          <cell r="AA651" t="b">
            <v>0</v>
          </cell>
          <cell r="AB651" t="b">
            <v>0</v>
          </cell>
          <cell r="AC651" t="b">
            <v>0</v>
          </cell>
        </row>
        <row r="652">
          <cell r="Y652" t="b">
            <v>0</v>
          </cell>
          <cell r="Z652" t="b">
            <v>0</v>
          </cell>
          <cell r="AA652" t="b">
            <v>0</v>
          </cell>
          <cell r="AB652" t="b">
            <v>0</v>
          </cell>
          <cell r="AC652" t="b">
            <v>0</v>
          </cell>
        </row>
        <row r="653">
          <cell r="Y653" t="b">
            <v>0</v>
          </cell>
          <cell r="Z653" t="b">
            <v>0</v>
          </cell>
          <cell r="AA653" t="b">
            <v>0</v>
          </cell>
          <cell r="AB653" t="b">
            <v>0</v>
          </cell>
          <cell r="AC653" t="b">
            <v>0</v>
          </cell>
        </row>
        <row r="654">
          <cell r="Y654" t="b">
            <v>0</v>
          </cell>
          <cell r="Z654" t="b">
            <v>0</v>
          </cell>
          <cell r="AA654" t="b">
            <v>0</v>
          </cell>
          <cell r="AB654" t="b">
            <v>0</v>
          </cell>
          <cell r="AC654" t="b">
            <v>0</v>
          </cell>
        </row>
        <row r="655">
          <cell r="Y655" t="b">
            <v>0</v>
          </cell>
          <cell r="Z655" t="b">
            <v>0</v>
          </cell>
          <cell r="AA655" t="b">
            <v>0</v>
          </cell>
          <cell r="AB655" t="b">
            <v>0</v>
          </cell>
          <cell r="AC655" t="b">
            <v>0</v>
          </cell>
        </row>
        <row r="656">
          <cell r="Y656" t="b">
            <v>0</v>
          </cell>
          <cell r="Z656" t="b">
            <v>0</v>
          </cell>
          <cell r="AA656" t="b">
            <v>0</v>
          </cell>
          <cell r="AB656" t="b">
            <v>0</v>
          </cell>
          <cell r="AC656" t="b">
            <v>0</v>
          </cell>
        </row>
        <row r="657">
          <cell r="Y657" t="b">
            <v>0</v>
          </cell>
          <cell r="Z657" t="b">
            <v>0</v>
          </cell>
          <cell r="AA657" t="b">
            <v>0</v>
          </cell>
          <cell r="AB657" t="b">
            <v>0</v>
          </cell>
          <cell r="AC657" t="b">
            <v>0</v>
          </cell>
        </row>
        <row r="658">
          <cell r="Y658" t="b">
            <v>0</v>
          </cell>
          <cell r="Z658" t="b">
            <v>0</v>
          </cell>
          <cell r="AA658" t="b">
            <v>0</v>
          </cell>
          <cell r="AB658" t="b">
            <v>0</v>
          </cell>
          <cell r="AC658" t="b">
            <v>0</v>
          </cell>
        </row>
        <row r="659">
          <cell r="Y659" t="b">
            <v>0</v>
          </cell>
          <cell r="Z659" t="b">
            <v>0</v>
          </cell>
          <cell r="AA659" t="b">
            <v>0</v>
          </cell>
          <cell r="AB659" t="b">
            <v>0</v>
          </cell>
          <cell r="AC659" t="b">
            <v>0</v>
          </cell>
        </row>
        <row r="660">
          <cell r="Y660" t="b">
            <v>0</v>
          </cell>
          <cell r="Z660" t="b">
            <v>0</v>
          </cell>
          <cell r="AA660" t="b">
            <v>0</v>
          </cell>
          <cell r="AB660" t="b">
            <v>0</v>
          </cell>
          <cell r="AC660" t="b">
            <v>0</v>
          </cell>
        </row>
        <row r="661">
          <cell r="Y661" t="b">
            <v>0</v>
          </cell>
          <cell r="Z661" t="b">
            <v>0</v>
          </cell>
          <cell r="AA661" t="b">
            <v>0</v>
          </cell>
          <cell r="AB661" t="b">
            <v>0</v>
          </cell>
          <cell r="AC661" t="b">
            <v>0</v>
          </cell>
        </row>
        <row r="662">
          <cell r="Y662" t="b">
            <v>0</v>
          </cell>
          <cell r="Z662" t="b">
            <v>0</v>
          </cell>
          <cell r="AA662" t="b">
            <v>0</v>
          </cell>
          <cell r="AB662" t="b">
            <v>0</v>
          </cell>
          <cell r="AC662" t="b">
            <v>0</v>
          </cell>
        </row>
        <row r="663">
          <cell r="Y663" t="b">
            <v>0</v>
          </cell>
          <cell r="Z663" t="b">
            <v>0</v>
          </cell>
          <cell r="AA663" t="b">
            <v>0</v>
          </cell>
          <cell r="AB663" t="b">
            <v>0</v>
          </cell>
          <cell r="AC663" t="b">
            <v>0</v>
          </cell>
        </row>
        <row r="664">
          <cell r="Y664" t="b">
            <v>0</v>
          </cell>
          <cell r="Z664" t="b">
            <v>0</v>
          </cell>
          <cell r="AA664" t="b">
            <v>0</v>
          </cell>
          <cell r="AB664" t="b">
            <v>0</v>
          </cell>
          <cell r="AC664" t="b">
            <v>0</v>
          </cell>
        </row>
        <row r="665">
          <cell r="Y665" t="b">
            <v>0</v>
          </cell>
          <cell r="Z665" t="b">
            <v>0</v>
          </cell>
          <cell r="AA665" t="b">
            <v>0</v>
          </cell>
          <cell r="AB665" t="b">
            <v>0</v>
          </cell>
          <cell r="AC665" t="b">
            <v>0</v>
          </cell>
        </row>
        <row r="666">
          <cell r="Y666" t="b">
            <v>0</v>
          </cell>
          <cell r="Z666" t="b">
            <v>0</v>
          </cell>
          <cell r="AA666" t="b">
            <v>0</v>
          </cell>
          <cell r="AB666" t="b">
            <v>0</v>
          </cell>
          <cell r="AC666" t="b">
            <v>0</v>
          </cell>
        </row>
        <row r="667">
          <cell r="Y667" t="b">
            <v>0</v>
          </cell>
          <cell r="Z667" t="b">
            <v>0</v>
          </cell>
          <cell r="AA667" t="b">
            <v>0</v>
          </cell>
          <cell r="AB667" t="b">
            <v>0</v>
          </cell>
          <cell r="AC667" t="b">
            <v>0</v>
          </cell>
        </row>
        <row r="668">
          <cell r="Y668" t="b">
            <v>0</v>
          </cell>
          <cell r="Z668" t="b">
            <v>0</v>
          </cell>
          <cell r="AA668" t="b">
            <v>0</v>
          </cell>
          <cell r="AB668" t="b">
            <v>0</v>
          </cell>
          <cell r="AC668" t="b">
            <v>0</v>
          </cell>
        </row>
        <row r="669">
          <cell r="Y669" t="b">
            <v>0</v>
          </cell>
          <cell r="Z669" t="b">
            <v>0</v>
          </cell>
          <cell r="AA669" t="b">
            <v>0</v>
          </cell>
          <cell r="AB669" t="b">
            <v>0</v>
          </cell>
          <cell r="AC669" t="b">
            <v>0</v>
          </cell>
        </row>
        <row r="670">
          <cell r="Y670" t="b">
            <v>0</v>
          </cell>
          <cell r="Z670" t="b">
            <v>0</v>
          </cell>
          <cell r="AA670" t="b">
            <v>0</v>
          </cell>
          <cell r="AB670" t="b">
            <v>0</v>
          </cell>
          <cell r="AC670" t="b">
            <v>0</v>
          </cell>
        </row>
        <row r="671">
          <cell r="Y671" t="b">
            <v>0</v>
          </cell>
          <cell r="Z671" t="b">
            <v>0</v>
          </cell>
          <cell r="AA671" t="b">
            <v>0</v>
          </cell>
          <cell r="AB671" t="b">
            <v>0</v>
          </cell>
          <cell r="AC671" t="b">
            <v>0</v>
          </cell>
        </row>
        <row r="672">
          <cell r="Y672" t="b">
            <v>0</v>
          </cell>
          <cell r="Z672" t="b">
            <v>0</v>
          </cell>
          <cell r="AA672" t="b">
            <v>0</v>
          </cell>
          <cell r="AB672" t="b">
            <v>0</v>
          </cell>
          <cell r="AC672" t="b">
            <v>0</v>
          </cell>
        </row>
        <row r="673">
          <cell r="Y673" t="b">
            <v>0</v>
          </cell>
          <cell r="Z673" t="b">
            <v>0</v>
          </cell>
          <cell r="AA673" t="b">
            <v>0</v>
          </cell>
          <cell r="AB673" t="b">
            <v>0</v>
          </cell>
          <cell r="AC673" t="b">
            <v>0</v>
          </cell>
        </row>
        <row r="674">
          <cell r="Y674" t="b">
            <v>0</v>
          </cell>
          <cell r="Z674" t="b">
            <v>0</v>
          </cell>
          <cell r="AA674" t="b">
            <v>0</v>
          </cell>
          <cell r="AB674" t="b">
            <v>0</v>
          </cell>
          <cell r="AC674" t="b">
            <v>0</v>
          </cell>
        </row>
        <row r="675">
          <cell r="Y675" t="b">
            <v>0</v>
          </cell>
          <cell r="Z675" t="b">
            <v>0</v>
          </cell>
          <cell r="AA675" t="b">
            <v>0</v>
          </cell>
          <cell r="AB675" t="b">
            <v>0</v>
          </cell>
          <cell r="AC675" t="b">
            <v>0</v>
          </cell>
        </row>
        <row r="676">
          <cell r="Y676" t="b">
            <v>0</v>
          </cell>
          <cell r="Z676" t="b">
            <v>0</v>
          </cell>
          <cell r="AA676" t="b">
            <v>0</v>
          </cell>
          <cell r="AB676" t="b">
            <v>0</v>
          </cell>
          <cell r="AC676" t="b">
            <v>0</v>
          </cell>
        </row>
        <row r="677">
          <cell r="Y677" t="b">
            <v>0</v>
          </cell>
          <cell r="Z677" t="b">
            <v>0</v>
          </cell>
          <cell r="AA677" t="b">
            <v>0</v>
          </cell>
          <cell r="AB677" t="b">
            <v>0</v>
          </cell>
          <cell r="AC677" t="b">
            <v>0</v>
          </cell>
        </row>
        <row r="678">
          <cell r="Y678" t="b">
            <v>0</v>
          </cell>
          <cell r="Z678" t="b">
            <v>0</v>
          </cell>
          <cell r="AA678" t="b">
            <v>0</v>
          </cell>
          <cell r="AB678" t="b">
            <v>0</v>
          </cell>
          <cell r="AC678" t="b">
            <v>0</v>
          </cell>
        </row>
        <row r="679">
          <cell r="Y679" t="b">
            <v>0</v>
          </cell>
          <cell r="Z679" t="b">
            <v>0</v>
          </cell>
          <cell r="AA679" t="b">
            <v>0</v>
          </cell>
          <cell r="AB679" t="b">
            <v>0</v>
          </cell>
          <cell r="AC679" t="b">
            <v>0</v>
          </cell>
        </row>
        <row r="680">
          <cell r="Y680" t="b">
            <v>0</v>
          </cell>
          <cell r="Z680" t="b">
            <v>0</v>
          </cell>
          <cell r="AA680" t="b">
            <v>0</v>
          </cell>
          <cell r="AB680" t="b">
            <v>0</v>
          </cell>
          <cell r="AC680" t="b">
            <v>0</v>
          </cell>
        </row>
        <row r="681">
          <cell r="Y681" t="b">
            <v>0</v>
          </cell>
          <cell r="Z681" t="b">
            <v>0</v>
          </cell>
          <cell r="AA681" t="b">
            <v>0</v>
          </cell>
          <cell r="AB681" t="b">
            <v>0</v>
          </cell>
          <cell r="AC681" t="b">
            <v>0</v>
          </cell>
        </row>
        <row r="682">
          <cell r="Y682" t="b">
            <v>0</v>
          </cell>
          <cell r="Z682" t="b">
            <v>0</v>
          </cell>
          <cell r="AA682" t="b">
            <v>0</v>
          </cell>
          <cell r="AB682" t="b">
            <v>0</v>
          </cell>
          <cell r="AC682" t="b">
            <v>0</v>
          </cell>
        </row>
        <row r="683">
          <cell r="Y683" t="b">
            <v>0</v>
          </cell>
          <cell r="Z683" t="b">
            <v>0</v>
          </cell>
          <cell r="AA683" t="b">
            <v>0</v>
          </cell>
          <cell r="AB683" t="b">
            <v>0</v>
          </cell>
          <cell r="AC683" t="b">
            <v>0</v>
          </cell>
        </row>
        <row r="684">
          <cell r="Y684" t="b">
            <v>0</v>
          </cell>
          <cell r="Z684" t="b">
            <v>0</v>
          </cell>
          <cell r="AA684" t="b">
            <v>0</v>
          </cell>
          <cell r="AB684" t="b">
            <v>0</v>
          </cell>
          <cell r="AC684" t="b">
            <v>0</v>
          </cell>
        </row>
        <row r="685">
          <cell r="Y685" t="b">
            <v>0</v>
          </cell>
          <cell r="Z685" t="b">
            <v>0</v>
          </cell>
          <cell r="AA685" t="b">
            <v>0</v>
          </cell>
          <cell r="AB685" t="b">
            <v>0</v>
          </cell>
          <cell r="AC685" t="b">
            <v>0</v>
          </cell>
        </row>
        <row r="686">
          <cell r="Y686" t="b">
            <v>0</v>
          </cell>
          <cell r="Z686" t="b">
            <v>0</v>
          </cell>
          <cell r="AA686" t="b">
            <v>0</v>
          </cell>
          <cell r="AB686" t="b">
            <v>0</v>
          </cell>
          <cell r="AC686" t="b">
            <v>0</v>
          </cell>
        </row>
        <row r="687">
          <cell r="Y687" t="b">
            <v>0</v>
          </cell>
          <cell r="Z687" t="b">
            <v>0</v>
          </cell>
          <cell r="AA687" t="b">
            <v>0</v>
          </cell>
          <cell r="AB687" t="b">
            <v>0</v>
          </cell>
          <cell r="AC687" t="b">
            <v>0</v>
          </cell>
        </row>
        <row r="688">
          <cell r="Y688" t="b">
            <v>0</v>
          </cell>
          <cell r="Z688" t="b">
            <v>0</v>
          </cell>
          <cell r="AA688" t="b">
            <v>0</v>
          </cell>
          <cell r="AB688" t="b">
            <v>0</v>
          </cell>
          <cell r="AC688" t="b">
            <v>0</v>
          </cell>
        </row>
        <row r="689">
          <cell r="Y689" t="b">
            <v>0</v>
          </cell>
          <cell r="Z689" t="b">
            <v>0</v>
          </cell>
          <cell r="AA689" t="b">
            <v>0</v>
          </cell>
          <cell r="AB689" t="b">
            <v>0</v>
          </cell>
          <cell r="AC689" t="b">
            <v>0</v>
          </cell>
        </row>
        <row r="690">
          <cell r="Y690" t="b">
            <v>0</v>
          </cell>
          <cell r="Z690" t="b">
            <v>0</v>
          </cell>
          <cell r="AA690" t="b">
            <v>0</v>
          </cell>
          <cell r="AB690" t="b">
            <v>0</v>
          </cell>
          <cell r="AC690" t="b">
            <v>0</v>
          </cell>
        </row>
        <row r="691">
          <cell r="Y691" t="b">
            <v>0</v>
          </cell>
          <cell r="Z691" t="b">
            <v>0</v>
          </cell>
          <cell r="AA691" t="b">
            <v>0</v>
          </cell>
          <cell r="AB691" t="b">
            <v>0</v>
          </cell>
          <cell r="AC691" t="b">
            <v>0</v>
          </cell>
        </row>
        <row r="692">
          <cell r="Y692" t="b">
            <v>0</v>
          </cell>
          <cell r="Z692" t="b">
            <v>0</v>
          </cell>
          <cell r="AA692" t="b">
            <v>0</v>
          </cell>
          <cell r="AB692" t="b">
            <v>0</v>
          </cell>
          <cell r="AC692" t="b">
            <v>0</v>
          </cell>
        </row>
        <row r="693">
          <cell r="Y693" t="b">
            <v>0</v>
          </cell>
          <cell r="Z693" t="b">
            <v>0</v>
          </cell>
          <cell r="AA693" t="b">
            <v>0</v>
          </cell>
          <cell r="AB693" t="b">
            <v>0</v>
          </cell>
          <cell r="AC693" t="b">
            <v>0</v>
          </cell>
        </row>
        <row r="694">
          <cell r="Y694" t="b">
            <v>0</v>
          </cell>
          <cell r="Z694" t="b">
            <v>0</v>
          </cell>
          <cell r="AA694" t="b">
            <v>0</v>
          </cell>
          <cell r="AB694" t="b">
            <v>0</v>
          </cell>
          <cell r="AC694" t="b">
            <v>0</v>
          </cell>
        </row>
        <row r="695">
          <cell r="Y695" t="b">
            <v>0</v>
          </cell>
          <cell r="Z695" t="b">
            <v>0</v>
          </cell>
          <cell r="AA695" t="b">
            <v>0</v>
          </cell>
          <cell r="AB695" t="b">
            <v>0</v>
          </cell>
          <cell r="AC695" t="b">
            <v>0</v>
          </cell>
        </row>
        <row r="696">
          <cell r="Y696" t="b">
            <v>0</v>
          </cell>
          <cell r="Z696" t="b">
            <v>0</v>
          </cell>
          <cell r="AA696" t="b">
            <v>0</v>
          </cell>
          <cell r="AB696" t="b">
            <v>0</v>
          </cell>
          <cell r="AC696" t="b">
            <v>0</v>
          </cell>
        </row>
        <row r="697">
          <cell r="Y697" t="b">
            <v>0</v>
          </cell>
          <cell r="Z697" t="b">
            <v>0</v>
          </cell>
          <cell r="AA697" t="b">
            <v>0</v>
          </cell>
          <cell r="AB697" t="b">
            <v>0</v>
          </cell>
          <cell r="AC697" t="b">
            <v>0</v>
          </cell>
        </row>
        <row r="698">
          <cell r="Y698" t="b">
            <v>0</v>
          </cell>
          <cell r="Z698" t="b">
            <v>0</v>
          </cell>
          <cell r="AA698" t="b">
            <v>0</v>
          </cell>
          <cell r="AB698" t="b">
            <v>0</v>
          </cell>
          <cell r="AC698" t="b">
            <v>0</v>
          </cell>
        </row>
        <row r="699">
          <cell r="Y699" t="b">
            <v>0</v>
          </cell>
          <cell r="Z699" t="b">
            <v>0</v>
          </cell>
          <cell r="AA699" t="b">
            <v>0</v>
          </cell>
          <cell r="AB699" t="b">
            <v>0</v>
          </cell>
          <cell r="AC699" t="b">
            <v>0</v>
          </cell>
        </row>
        <row r="700">
          <cell r="Y700" t="b">
            <v>0</v>
          </cell>
          <cell r="Z700" t="b">
            <v>0</v>
          </cell>
          <cell r="AA700" t="b">
            <v>0</v>
          </cell>
          <cell r="AB700" t="b">
            <v>0</v>
          </cell>
          <cell r="AC700" t="b">
            <v>0</v>
          </cell>
        </row>
        <row r="701">
          <cell r="Y701" t="b">
            <v>0</v>
          </cell>
          <cell r="Z701" t="b">
            <v>0</v>
          </cell>
          <cell r="AA701" t="b">
            <v>0</v>
          </cell>
          <cell r="AB701" t="b">
            <v>0</v>
          </cell>
          <cell r="AC701" t="b">
            <v>0</v>
          </cell>
        </row>
        <row r="702">
          <cell r="Y702" t="b">
            <v>0</v>
          </cell>
          <cell r="Z702" t="b">
            <v>0</v>
          </cell>
          <cell r="AA702" t="b">
            <v>0</v>
          </cell>
          <cell r="AB702" t="b">
            <v>0</v>
          </cell>
          <cell r="AC702" t="b">
            <v>0</v>
          </cell>
        </row>
        <row r="703">
          <cell r="Y703" t="b">
            <v>0</v>
          </cell>
          <cell r="Z703" t="b">
            <v>0</v>
          </cell>
          <cell r="AA703" t="b">
            <v>0</v>
          </cell>
          <cell r="AB703" t="b">
            <v>0</v>
          </cell>
          <cell r="AC703" t="b">
            <v>0</v>
          </cell>
        </row>
        <row r="704">
          <cell r="Y704" t="b">
            <v>0</v>
          </cell>
          <cell r="Z704" t="b">
            <v>0</v>
          </cell>
          <cell r="AA704" t="b">
            <v>0</v>
          </cell>
          <cell r="AB704" t="b">
            <v>0</v>
          </cell>
          <cell r="AC704" t="b">
            <v>0</v>
          </cell>
        </row>
        <row r="705">
          <cell r="Y705" t="b">
            <v>0</v>
          </cell>
          <cell r="Z705" t="b">
            <v>0</v>
          </cell>
          <cell r="AA705" t="b">
            <v>0</v>
          </cell>
          <cell r="AB705" t="b">
            <v>0</v>
          </cell>
          <cell r="AC705" t="b">
            <v>0</v>
          </cell>
        </row>
        <row r="706">
          <cell r="Y706" t="b">
            <v>0</v>
          </cell>
          <cell r="Z706" t="b">
            <v>0</v>
          </cell>
          <cell r="AA706" t="b">
            <v>0</v>
          </cell>
          <cell r="AB706" t="b">
            <v>0</v>
          </cell>
          <cell r="AC706" t="b">
            <v>0</v>
          </cell>
        </row>
        <row r="707">
          <cell r="Y707" t="b">
            <v>0</v>
          </cell>
          <cell r="Z707" t="b">
            <v>0</v>
          </cell>
          <cell r="AA707" t="b">
            <v>0</v>
          </cell>
          <cell r="AB707" t="b">
            <v>0</v>
          </cell>
          <cell r="AC707" t="b">
            <v>0</v>
          </cell>
        </row>
        <row r="708">
          <cell r="Y708" t="b">
            <v>0</v>
          </cell>
          <cell r="Z708" t="b">
            <v>0</v>
          </cell>
          <cell r="AA708" t="b">
            <v>0</v>
          </cell>
          <cell r="AB708" t="b">
            <v>0</v>
          </cell>
          <cell r="AC708" t="b">
            <v>0</v>
          </cell>
        </row>
        <row r="709">
          <cell r="Y709" t="b">
            <v>0</v>
          </cell>
          <cell r="Z709" t="b">
            <v>0</v>
          </cell>
          <cell r="AA709" t="b">
            <v>0</v>
          </cell>
          <cell r="AB709" t="b">
            <v>0</v>
          </cell>
          <cell r="AC709" t="b">
            <v>0</v>
          </cell>
        </row>
        <row r="710">
          <cell r="Y710" t="b">
            <v>0</v>
          </cell>
          <cell r="Z710" t="b">
            <v>0</v>
          </cell>
          <cell r="AA710" t="b">
            <v>0</v>
          </cell>
          <cell r="AB710" t="b">
            <v>0</v>
          </cell>
          <cell r="AC710" t="b">
            <v>0</v>
          </cell>
        </row>
        <row r="711">
          <cell r="Y711" t="b">
            <v>0</v>
          </cell>
          <cell r="Z711" t="b">
            <v>0</v>
          </cell>
          <cell r="AA711" t="b">
            <v>0</v>
          </cell>
          <cell r="AB711" t="b">
            <v>0</v>
          </cell>
          <cell r="AC711" t="b">
            <v>0</v>
          </cell>
        </row>
        <row r="712">
          <cell r="Y712" t="b">
            <v>0</v>
          </cell>
          <cell r="Z712" t="b">
            <v>0</v>
          </cell>
          <cell r="AA712" t="b">
            <v>0</v>
          </cell>
          <cell r="AB712" t="b">
            <v>0</v>
          </cell>
          <cell r="AC712" t="b">
            <v>0</v>
          </cell>
        </row>
        <row r="713">
          <cell r="Y713" t="b">
            <v>0</v>
          </cell>
          <cell r="Z713" t="b">
            <v>0</v>
          </cell>
          <cell r="AA713" t="b">
            <v>0</v>
          </cell>
          <cell r="AB713" t="b">
            <v>0</v>
          </cell>
          <cell r="AC713" t="b">
            <v>0</v>
          </cell>
        </row>
        <row r="714">
          <cell r="Y714" t="b">
            <v>0</v>
          </cell>
          <cell r="Z714" t="b">
            <v>0</v>
          </cell>
          <cell r="AA714" t="b">
            <v>0</v>
          </cell>
          <cell r="AB714" t="b">
            <v>0</v>
          </cell>
          <cell r="AC714" t="b">
            <v>0</v>
          </cell>
        </row>
        <row r="715">
          <cell r="Y715" t="b">
            <v>0</v>
          </cell>
          <cell r="Z715" t="b">
            <v>0</v>
          </cell>
          <cell r="AA715" t="b">
            <v>0</v>
          </cell>
          <cell r="AB715" t="b">
            <v>0</v>
          </cell>
          <cell r="AC715" t="b">
            <v>0</v>
          </cell>
        </row>
        <row r="716">
          <cell r="Y716" t="b">
            <v>0</v>
          </cell>
          <cell r="Z716" t="b">
            <v>0</v>
          </cell>
          <cell r="AA716" t="b">
            <v>0</v>
          </cell>
          <cell r="AB716" t="b">
            <v>0</v>
          </cell>
          <cell r="AC716" t="b">
            <v>0</v>
          </cell>
        </row>
        <row r="717">
          <cell r="Y717" t="b">
            <v>0</v>
          </cell>
          <cell r="Z717" t="b">
            <v>0</v>
          </cell>
          <cell r="AA717" t="b">
            <v>0</v>
          </cell>
          <cell r="AB717" t="b">
            <v>0</v>
          </cell>
          <cell r="AC717" t="b">
            <v>0</v>
          </cell>
        </row>
        <row r="718">
          <cell r="Y718" t="b">
            <v>0</v>
          </cell>
          <cell r="Z718" t="b">
            <v>0</v>
          </cell>
          <cell r="AA718" t="b">
            <v>0</v>
          </cell>
          <cell r="AB718" t="b">
            <v>0</v>
          </cell>
          <cell r="AC718" t="b">
            <v>0</v>
          </cell>
        </row>
        <row r="719">
          <cell r="Y719" t="b">
            <v>0</v>
          </cell>
          <cell r="Z719" t="b">
            <v>0</v>
          </cell>
          <cell r="AA719" t="b">
            <v>0</v>
          </cell>
          <cell r="AB719" t="b">
            <v>0</v>
          </cell>
          <cell r="AC719" t="b">
            <v>0</v>
          </cell>
        </row>
        <row r="720">
          <cell r="Y720" t="b">
            <v>0</v>
          </cell>
          <cell r="Z720" t="b">
            <v>0</v>
          </cell>
          <cell r="AA720" t="b">
            <v>0</v>
          </cell>
          <cell r="AB720" t="b">
            <v>0</v>
          </cell>
          <cell r="AC720" t="b">
            <v>0</v>
          </cell>
        </row>
        <row r="721">
          <cell r="Y721" t="b">
            <v>0</v>
          </cell>
          <cell r="Z721" t="b">
            <v>0</v>
          </cell>
          <cell r="AA721" t="b">
            <v>0</v>
          </cell>
          <cell r="AB721" t="b">
            <v>0</v>
          </cell>
          <cell r="AC721" t="b">
            <v>0</v>
          </cell>
        </row>
        <row r="722">
          <cell r="Y722" t="b">
            <v>0</v>
          </cell>
          <cell r="Z722" t="b">
            <v>0</v>
          </cell>
          <cell r="AA722" t="b">
            <v>0</v>
          </cell>
          <cell r="AB722" t="b">
            <v>0</v>
          </cell>
          <cell r="AC722" t="b">
            <v>0</v>
          </cell>
        </row>
        <row r="723">
          <cell r="Y723" t="b">
            <v>0</v>
          </cell>
          <cell r="Z723" t="b">
            <v>0</v>
          </cell>
          <cell r="AA723" t="b">
            <v>0</v>
          </cell>
          <cell r="AB723" t="b">
            <v>0</v>
          </cell>
          <cell r="AC723" t="b">
            <v>0</v>
          </cell>
        </row>
        <row r="724">
          <cell r="Y724" t="b">
            <v>0</v>
          </cell>
          <cell r="Z724" t="b">
            <v>0</v>
          </cell>
          <cell r="AA724" t="b">
            <v>0</v>
          </cell>
          <cell r="AB724" t="b">
            <v>0</v>
          </cell>
          <cell r="AC724" t="b">
            <v>0</v>
          </cell>
        </row>
        <row r="725">
          <cell r="Y725" t="b">
            <v>0</v>
          </cell>
          <cell r="Z725" t="b">
            <v>0</v>
          </cell>
          <cell r="AA725" t="b">
            <v>0</v>
          </cell>
          <cell r="AB725" t="b">
            <v>0</v>
          </cell>
          <cell r="AC725" t="b">
            <v>0</v>
          </cell>
        </row>
        <row r="726">
          <cell r="Y726" t="b">
            <v>0</v>
          </cell>
          <cell r="Z726" t="b">
            <v>0</v>
          </cell>
          <cell r="AA726" t="b">
            <v>0</v>
          </cell>
          <cell r="AB726" t="b">
            <v>0</v>
          </cell>
          <cell r="AC726" t="b">
            <v>0</v>
          </cell>
        </row>
        <row r="727">
          <cell r="Y727" t="b">
            <v>0</v>
          </cell>
          <cell r="Z727" t="b">
            <v>0</v>
          </cell>
          <cell r="AA727" t="b">
            <v>0</v>
          </cell>
          <cell r="AB727" t="b">
            <v>0</v>
          </cell>
          <cell r="AC727" t="b">
            <v>0</v>
          </cell>
        </row>
        <row r="728">
          <cell r="Y728" t="b">
            <v>0</v>
          </cell>
          <cell r="Z728" t="b">
            <v>0</v>
          </cell>
          <cell r="AA728" t="b">
            <v>0</v>
          </cell>
          <cell r="AB728" t="b">
            <v>0</v>
          </cell>
          <cell r="AC728" t="b">
            <v>0</v>
          </cell>
        </row>
        <row r="729">
          <cell r="Y729" t="b">
            <v>0</v>
          </cell>
          <cell r="Z729" t="b">
            <v>0</v>
          </cell>
          <cell r="AA729" t="b">
            <v>0</v>
          </cell>
          <cell r="AB729" t="b">
            <v>0</v>
          </cell>
          <cell r="AC729" t="b">
            <v>0</v>
          </cell>
        </row>
        <row r="730">
          <cell r="Y730" t="b">
            <v>0</v>
          </cell>
          <cell r="Z730" t="b">
            <v>0</v>
          </cell>
          <cell r="AA730" t="b">
            <v>0</v>
          </cell>
          <cell r="AB730" t="b">
            <v>0</v>
          </cell>
          <cell r="AC730" t="b">
            <v>0</v>
          </cell>
        </row>
        <row r="731">
          <cell r="Y731" t="b">
            <v>0</v>
          </cell>
          <cell r="Z731" t="b">
            <v>0</v>
          </cell>
          <cell r="AA731" t="b">
            <v>0</v>
          </cell>
          <cell r="AB731" t="b">
            <v>0</v>
          </cell>
          <cell r="AC731" t="b">
            <v>0</v>
          </cell>
        </row>
        <row r="732">
          <cell r="Y732" t="b">
            <v>0</v>
          </cell>
          <cell r="Z732" t="b">
            <v>0</v>
          </cell>
          <cell r="AA732" t="b">
            <v>0</v>
          </cell>
          <cell r="AB732" t="b">
            <v>0</v>
          </cell>
          <cell r="AC732" t="b">
            <v>0</v>
          </cell>
        </row>
        <row r="733">
          <cell r="Y733" t="b">
            <v>0</v>
          </cell>
          <cell r="Z733" t="b">
            <v>0</v>
          </cell>
          <cell r="AA733" t="b">
            <v>0</v>
          </cell>
          <cell r="AB733" t="b">
            <v>0</v>
          </cell>
          <cell r="AC733" t="b">
            <v>0</v>
          </cell>
        </row>
        <row r="734">
          <cell r="Y734" t="b">
            <v>0</v>
          </cell>
          <cell r="Z734" t="b">
            <v>0</v>
          </cell>
          <cell r="AA734" t="b">
            <v>0</v>
          </cell>
          <cell r="AB734" t="b">
            <v>0</v>
          </cell>
          <cell r="AC734" t="b">
            <v>0</v>
          </cell>
        </row>
        <row r="735">
          <cell r="Y735" t="b">
            <v>0</v>
          </cell>
          <cell r="Z735" t="b">
            <v>0</v>
          </cell>
          <cell r="AA735" t="b">
            <v>0</v>
          </cell>
          <cell r="AB735" t="b">
            <v>0</v>
          </cell>
          <cell r="AC735" t="b">
            <v>0</v>
          </cell>
        </row>
        <row r="736">
          <cell r="Y736" t="b">
            <v>0</v>
          </cell>
          <cell r="Z736" t="b">
            <v>0</v>
          </cell>
          <cell r="AA736" t="b">
            <v>0</v>
          </cell>
          <cell r="AB736" t="b">
            <v>0</v>
          </cell>
          <cell r="AC736" t="b">
            <v>0</v>
          </cell>
        </row>
        <row r="737">
          <cell r="Y737" t="b">
            <v>0</v>
          </cell>
          <cell r="Z737" t="b">
            <v>0</v>
          </cell>
          <cell r="AA737" t="b">
            <v>0</v>
          </cell>
          <cell r="AB737" t="b">
            <v>0</v>
          </cell>
          <cell r="AC737" t="b">
            <v>0</v>
          </cell>
        </row>
        <row r="738">
          <cell r="Y738" t="b">
            <v>0</v>
          </cell>
          <cell r="Z738" t="b">
            <v>0</v>
          </cell>
          <cell r="AA738" t="b">
            <v>0</v>
          </cell>
          <cell r="AB738" t="b">
            <v>0</v>
          </cell>
          <cell r="AC738" t="b">
            <v>0</v>
          </cell>
        </row>
        <row r="739">
          <cell r="Y739" t="b">
            <v>0</v>
          </cell>
          <cell r="Z739" t="b">
            <v>0</v>
          </cell>
          <cell r="AA739" t="b">
            <v>0</v>
          </cell>
          <cell r="AB739" t="b">
            <v>0</v>
          </cell>
          <cell r="AC739" t="b">
            <v>0</v>
          </cell>
        </row>
        <row r="740">
          <cell r="Y740" t="b">
            <v>0</v>
          </cell>
          <cell r="Z740" t="b">
            <v>0</v>
          </cell>
          <cell r="AA740" t="b">
            <v>0</v>
          </cell>
          <cell r="AB740" t="b">
            <v>0</v>
          </cell>
          <cell r="AC740" t="b">
            <v>0</v>
          </cell>
        </row>
        <row r="741">
          <cell r="Y741" t="b">
            <v>0</v>
          </cell>
          <cell r="Z741" t="b">
            <v>0</v>
          </cell>
          <cell r="AA741" t="b">
            <v>0</v>
          </cell>
          <cell r="AB741" t="b">
            <v>0</v>
          </cell>
          <cell r="AC741" t="b">
            <v>0</v>
          </cell>
        </row>
        <row r="742">
          <cell r="Y742" t="b">
            <v>0</v>
          </cell>
          <cell r="Z742" t="b">
            <v>0</v>
          </cell>
          <cell r="AA742" t="b">
            <v>0</v>
          </cell>
          <cell r="AB742" t="b">
            <v>0</v>
          </cell>
          <cell r="AC742" t="b">
            <v>0</v>
          </cell>
        </row>
        <row r="743">
          <cell r="Y743" t="b">
            <v>0</v>
          </cell>
          <cell r="Z743" t="b">
            <v>0</v>
          </cell>
          <cell r="AA743" t="b">
            <v>0</v>
          </cell>
          <cell r="AB743" t="b">
            <v>0</v>
          </cell>
          <cell r="AC743" t="b">
            <v>0</v>
          </cell>
        </row>
        <row r="744">
          <cell r="Y744" t="b">
            <v>0</v>
          </cell>
          <cell r="Z744" t="b">
            <v>0</v>
          </cell>
          <cell r="AA744" t="b">
            <v>0</v>
          </cell>
          <cell r="AB744" t="b">
            <v>0</v>
          </cell>
          <cell r="AC744" t="b">
            <v>0</v>
          </cell>
        </row>
        <row r="745">
          <cell r="Y745" t="b">
            <v>0</v>
          </cell>
          <cell r="Z745" t="b">
            <v>0</v>
          </cell>
          <cell r="AA745" t="b">
            <v>0</v>
          </cell>
          <cell r="AB745" t="b">
            <v>0</v>
          </cell>
          <cell r="AC745" t="b">
            <v>0</v>
          </cell>
        </row>
        <row r="746">
          <cell r="Y746" t="b">
            <v>0</v>
          </cell>
          <cell r="Z746" t="b">
            <v>0</v>
          </cell>
          <cell r="AA746" t="b">
            <v>0</v>
          </cell>
          <cell r="AB746" t="b">
            <v>0</v>
          </cell>
          <cell r="AC746" t="b">
            <v>0</v>
          </cell>
        </row>
        <row r="747">
          <cell r="Y747" t="b">
            <v>0</v>
          </cell>
          <cell r="Z747" t="b">
            <v>0</v>
          </cell>
          <cell r="AA747" t="b">
            <v>0</v>
          </cell>
          <cell r="AB747" t="b">
            <v>0</v>
          </cell>
          <cell r="AC747" t="b">
            <v>0</v>
          </cell>
        </row>
        <row r="748">
          <cell r="Y748" t="b">
            <v>0</v>
          </cell>
          <cell r="Z748" t="b">
            <v>0</v>
          </cell>
          <cell r="AA748" t="b">
            <v>0</v>
          </cell>
          <cell r="AB748" t="b">
            <v>0</v>
          </cell>
          <cell r="AC748" t="b">
            <v>0</v>
          </cell>
        </row>
        <row r="749">
          <cell r="Y749" t="b">
            <v>0</v>
          </cell>
          <cell r="Z749" t="b">
            <v>0</v>
          </cell>
          <cell r="AA749" t="b">
            <v>0</v>
          </cell>
          <cell r="AB749" t="b">
            <v>0</v>
          </cell>
          <cell r="AC749" t="b">
            <v>0</v>
          </cell>
        </row>
        <row r="750">
          <cell r="Y750" t="b">
            <v>0</v>
          </cell>
          <cell r="Z750" t="b">
            <v>0</v>
          </cell>
          <cell r="AA750" t="b">
            <v>0</v>
          </cell>
          <cell r="AB750" t="b">
            <v>0</v>
          </cell>
          <cell r="AC750" t="b">
            <v>0</v>
          </cell>
        </row>
        <row r="751">
          <cell r="Y751" t="b">
            <v>0</v>
          </cell>
          <cell r="Z751" t="b">
            <v>0</v>
          </cell>
          <cell r="AA751" t="b">
            <v>0</v>
          </cell>
          <cell r="AB751" t="b">
            <v>0</v>
          </cell>
          <cell r="AC751" t="b">
            <v>0</v>
          </cell>
        </row>
        <row r="752">
          <cell r="Y752" t="b">
            <v>0</v>
          </cell>
          <cell r="Z752" t="b">
            <v>0</v>
          </cell>
          <cell r="AA752" t="b">
            <v>0</v>
          </cell>
          <cell r="AB752" t="b">
            <v>0</v>
          </cell>
          <cell r="AC752" t="b">
            <v>0</v>
          </cell>
        </row>
        <row r="753">
          <cell r="Y753" t="b">
            <v>0</v>
          </cell>
          <cell r="Z753" t="b">
            <v>0</v>
          </cell>
          <cell r="AA753" t="b">
            <v>0</v>
          </cell>
          <cell r="AB753" t="b">
            <v>0</v>
          </cell>
          <cell r="AC753" t="b">
            <v>0</v>
          </cell>
        </row>
        <row r="754">
          <cell r="Y754" t="b">
            <v>0</v>
          </cell>
          <cell r="Z754" t="b">
            <v>0</v>
          </cell>
          <cell r="AA754" t="b">
            <v>0</v>
          </cell>
          <cell r="AB754" t="b">
            <v>0</v>
          </cell>
          <cell r="AC754" t="b">
            <v>0</v>
          </cell>
        </row>
        <row r="755">
          <cell r="Y755" t="b">
            <v>0</v>
          </cell>
          <cell r="Z755" t="b">
            <v>0</v>
          </cell>
          <cell r="AA755" t="b">
            <v>0</v>
          </cell>
          <cell r="AB755" t="b">
            <v>0</v>
          </cell>
          <cell r="AC755" t="b">
            <v>0</v>
          </cell>
        </row>
        <row r="756">
          <cell r="Y756" t="b">
            <v>0</v>
          </cell>
          <cell r="Z756" t="b">
            <v>0</v>
          </cell>
          <cell r="AA756" t="b">
            <v>0</v>
          </cell>
          <cell r="AB756" t="b">
            <v>0</v>
          </cell>
          <cell r="AC756" t="b">
            <v>0</v>
          </cell>
        </row>
        <row r="757">
          <cell r="Y757" t="b">
            <v>0</v>
          </cell>
          <cell r="Z757" t="b">
            <v>0</v>
          </cell>
          <cell r="AA757" t="b">
            <v>0</v>
          </cell>
          <cell r="AB757" t="b">
            <v>0</v>
          </cell>
          <cell r="AC757" t="b">
            <v>0</v>
          </cell>
        </row>
        <row r="758">
          <cell r="Y758" t="b">
            <v>0</v>
          </cell>
          <cell r="Z758" t="b">
            <v>0</v>
          </cell>
          <cell r="AA758" t="b">
            <v>0</v>
          </cell>
          <cell r="AB758" t="b">
            <v>0</v>
          </cell>
          <cell r="AC758" t="b">
            <v>0</v>
          </cell>
        </row>
        <row r="759">
          <cell r="Y759" t="b">
            <v>0</v>
          </cell>
          <cell r="Z759" t="b">
            <v>0</v>
          </cell>
          <cell r="AA759" t="b">
            <v>0</v>
          </cell>
          <cell r="AB759" t="b">
            <v>0</v>
          </cell>
          <cell r="AC759" t="b">
            <v>0</v>
          </cell>
        </row>
        <row r="760">
          <cell r="Y760" t="b">
            <v>0</v>
          </cell>
          <cell r="Z760" t="b">
            <v>0</v>
          </cell>
          <cell r="AA760" t="b">
            <v>0</v>
          </cell>
          <cell r="AB760" t="b">
            <v>0</v>
          </cell>
          <cell r="AC760" t="b">
            <v>0</v>
          </cell>
        </row>
        <row r="761">
          <cell r="Y761" t="b">
            <v>0</v>
          </cell>
          <cell r="Z761" t="b">
            <v>0</v>
          </cell>
          <cell r="AA761" t="b">
            <v>0</v>
          </cell>
          <cell r="AB761" t="b">
            <v>0</v>
          </cell>
          <cell r="AC761" t="b">
            <v>0</v>
          </cell>
        </row>
        <row r="762">
          <cell r="Y762" t="b">
            <v>0</v>
          </cell>
          <cell r="Z762" t="b">
            <v>0</v>
          </cell>
          <cell r="AA762" t="b">
            <v>0</v>
          </cell>
          <cell r="AB762" t="b">
            <v>0</v>
          </cell>
          <cell r="AC762" t="b">
            <v>0</v>
          </cell>
        </row>
        <row r="763">
          <cell r="Y763" t="b">
            <v>0</v>
          </cell>
          <cell r="Z763" t="b">
            <v>0</v>
          </cell>
          <cell r="AA763" t="b">
            <v>0</v>
          </cell>
          <cell r="AB763" t="b">
            <v>0</v>
          </cell>
          <cell r="AC763" t="b">
            <v>0</v>
          </cell>
        </row>
        <row r="764">
          <cell r="Y764" t="b">
            <v>0</v>
          </cell>
          <cell r="Z764" t="b">
            <v>0</v>
          </cell>
          <cell r="AA764" t="b">
            <v>0</v>
          </cell>
          <cell r="AB764" t="b">
            <v>0</v>
          </cell>
          <cell r="AC764" t="b">
            <v>0</v>
          </cell>
        </row>
        <row r="765">
          <cell r="Y765" t="b">
            <v>0</v>
          </cell>
          <cell r="Z765" t="b">
            <v>0</v>
          </cell>
          <cell r="AA765" t="b">
            <v>0</v>
          </cell>
          <cell r="AB765" t="b">
            <v>0</v>
          </cell>
          <cell r="AC765" t="b">
            <v>0</v>
          </cell>
        </row>
        <row r="766">
          <cell r="Y766" t="b">
            <v>0</v>
          </cell>
          <cell r="Z766" t="b">
            <v>0</v>
          </cell>
          <cell r="AA766" t="b">
            <v>0</v>
          </cell>
          <cell r="AB766" t="b">
            <v>0</v>
          </cell>
          <cell r="AC766" t="b">
            <v>0</v>
          </cell>
        </row>
        <row r="767">
          <cell r="Y767" t="b">
            <v>0</v>
          </cell>
          <cell r="Z767" t="b">
            <v>0</v>
          </cell>
          <cell r="AA767" t="b">
            <v>0</v>
          </cell>
          <cell r="AB767" t="b">
            <v>0</v>
          </cell>
          <cell r="AC767" t="b">
            <v>0</v>
          </cell>
        </row>
        <row r="768">
          <cell r="Y768" t="b">
            <v>0</v>
          </cell>
          <cell r="Z768" t="b">
            <v>0</v>
          </cell>
          <cell r="AA768" t="b">
            <v>0</v>
          </cell>
          <cell r="AB768" t="b">
            <v>0</v>
          </cell>
          <cell r="AC768" t="b">
            <v>0</v>
          </cell>
        </row>
        <row r="769">
          <cell r="Y769" t="b">
            <v>0</v>
          </cell>
          <cell r="Z769" t="b">
            <v>0</v>
          </cell>
          <cell r="AA769" t="b">
            <v>0</v>
          </cell>
          <cell r="AB769" t="b">
            <v>0</v>
          </cell>
          <cell r="AC769" t="b">
            <v>0</v>
          </cell>
        </row>
        <row r="770">
          <cell r="Y770" t="b">
            <v>0</v>
          </cell>
          <cell r="Z770" t="b">
            <v>0</v>
          </cell>
          <cell r="AA770" t="b">
            <v>0</v>
          </cell>
          <cell r="AB770" t="b">
            <v>0</v>
          </cell>
          <cell r="AC770" t="b">
            <v>0</v>
          </cell>
        </row>
        <row r="771">
          <cell r="Y771" t="b">
            <v>0</v>
          </cell>
          <cell r="Z771" t="b">
            <v>0</v>
          </cell>
          <cell r="AA771" t="b">
            <v>0</v>
          </cell>
          <cell r="AB771" t="b">
            <v>0</v>
          </cell>
          <cell r="AC771" t="b">
            <v>0</v>
          </cell>
        </row>
        <row r="772">
          <cell r="Y772" t="b">
            <v>0</v>
          </cell>
          <cell r="Z772" t="b">
            <v>0</v>
          </cell>
          <cell r="AA772" t="b">
            <v>0</v>
          </cell>
          <cell r="AB772" t="b">
            <v>0</v>
          </cell>
          <cell r="AC772" t="b">
            <v>0</v>
          </cell>
        </row>
        <row r="773">
          <cell r="Y773" t="b">
            <v>0</v>
          </cell>
          <cell r="Z773" t="b">
            <v>0</v>
          </cell>
          <cell r="AA773" t="b">
            <v>0</v>
          </cell>
          <cell r="AB773" t="b">
            <v>0</v>
          </cell>
          <cell r="AC773" t="b">
            <v>0</v>
          </cell>
        </row>
        <row r="774">
          <cell r="Y774" t="b">
            <v>0</v>
          </cell>
          <cell r="Z774" t="b">
            <v>0</v>
          </cell>
          <cell r="AA774" t="b">
            <v>0</v>
          </cell>
          <cell r="AB774" t="b">
            <v>0</v>
          </cell>
          <cell r="AC774" t="b">
            <v>0</v>
          </cell>
        </row>
        <row r="775">
          <cell r="Y775" t="b">
            <v>0</v>
          </cell>
          <cell r="Z775" t="b">
            <v>0</v>
          </cell>
          <cell r="AA775" t="b">
            <v>0</v>
          </cell>
          <cell r="AB775" t="b">
            <v>0</v>
          </cell>
          <cell r="AC775" t="b">
            <v>0</v>
          </cell>
        </row>
        <row r="776">
          <cell r="Y776" t="b">
            <v>0</v>
          </cell>
          <cell r="Z776" t="b">
            <v>0</v>
          </cell>
          <cell r="AA776" t="b">
            <v>0</v>
          </cell>
          <cell r="AB776" t="b">
            <v>0</v>
          </cell>
          <cell r="AC776" t="b">
            <v>0</v>
          </cell>
        </row>
        <row r="777">
          <cell r="Y777" t="b">
            <v>0</v>
          </cell>
          <cell r="Z777" t="b">
            <v>0</v>
          </cell>
          <cell r="AA777" t="b">
            <v>0</v>
          </cell>
          <cell r="AB777" t="b">
            <v>0</v>
          </cell>
          <cell r="AC777" t="b">
            <v>0</v>
          </cell>
        </row>
        <row r="778">
          <cell r="Y778" t="b">
            <v>0</v>
          </cell>
          <cell r="Z778" t="b">
            <v>0</v>
          </cell>
          <cell r="AA778" t="b">
            <v>0</v>
          </cell>
          <cell r="AB778" t="b">
            <v>0</v>
          </cell>
          <cell r="AC778" t="b">
            <v>0</v>
          </cell>
        </row>
        <row r="779">
          <cell r="Y779" t="b">
            <v>0</v>
          </cell>
          <cell r="Z779" t="b">
            <v>0</v>
          </cell>
          <cell r="AA779" t="b">
            <v>0</v>
          </cell>
          <cell r="AB779" t="b">
            <v>0</v>
          </cell>
          <cell r="AC779" t="b">
            <v>0</v>
          </cell>
        </row>
        <row r="780">
          <cell r="Y780" t="b">
            <v>0</v>
          </cell>
          <cell r="Z780" t="b">
            <v>0</v>
          </cell>
          <cell r="AA780" t="b">
            <v>0</v>
          </cell>
          <cell r="AB780" t="b">
            <v>0</v>
          </cell>
          <cell r="AC780" t="b">
            <v>0</v>
          </cell>
        </row>
        <row r="781">
          <cell r="Y781" t="b">
            <v>0</v>
          </cell>
          <cell r="Z781" t="b">
            <v>0</v>
          </cell>
          <cell r="AA781" t="b">
            <v>0</v>
          </cell>
          <cell r="AB781" t="b">
            <v>0</v>
          </cell>
          <cell r="AC781" t="b">
            <v>0</v>
          </cell>
        </row>
        <row r="782">
          <cell r="Y782" t="b">
            <v>0</v>
          </cell>
          <cell r="Z782" t="b">
            <v>0</v>
          </cell>
          <cell r="AA782" t="b">
            <v>0</v>
          </cell>
          <cell r="AB782" t="b">
            <v>0</v>
          </cell>
          <cell r="AC782" t="b">
            <v>0</v>
          </cell>
        </row>
        <row r="783">
          <cell r="Y783" t="b">
            <v>0</v>
          </cell>
          <cell r="Z783" t="b">
            <v>0</v>
          </cell>
          <cell r="AA783" t="b">
            <v>0</v>
          </cell>
          <cell r="AB783" t="b">
            <v>0</v>
          </cell>
          <cell r="AC783" t="b">
            <v>0</v>
          </cell>
        </row>
        <row r="784">
          <cell r="Y784" t="b">
            <v>0</v>
          </cell>
          <cell r="Z784" t="b">
            <v>0</v>
          </cell>
          <cell r="AA784" t="b">
            <v>0</v>
          </cell>
          <cell r="AB784" t="b">
            <v>0</v>
          </cell>
          <cell r="AC784" t="b">
            <v>0</v>
          </cell>
        </row>
        <row r="785">
          <cell r="Y785" t="b">
            <v>0</v>
          </cell>
          <cell r="Z785" t="b">
            <v>0</v>
          </cell>
          <cell r="AA785" t="b">
            <v>0</v>
          </cell>
          <cell r="AB785" t="b">
            <v>0</v>
          </cell>
          <cell r="AC785" t="b">
            <v>0</v>
          </cell>
        </row>
        <row r="786">
          <cell r="Y786" t="b">
            <v>0</v>
          </cell>
          <cell r="Z786" t="b">
            <v>0</v>
          </cell>
          <cell r="AA786" t="b">
            <v>0</v>
          </cell>
          <cell r="AB786" t="b">
            <v>0</v>
          </cell>
          <cell r="AC786" t="b">
            <v>0</v>
          </cell>
        </row>
        <row r="787">
          <cell r="Y787" t="b">
            <v>0</v>
          </cell>
          <cell r="Z787" t="b">
            <v>0</v>
          </cell>
          <cell r="AA787" t="b">
            <v>0</v>
          </cell>
          <cell r="AB787" t="b">
            <v>0</v>
          </cell>
          <cell r="AC787" t="b">
            <v>0</v>
          </cell>
        </row>
        <row r="788">
          <cell r="Y788" t="b">
            <v>0</v>
          </cell>
          <cell r="Z788" t="b">
            <v>0</v>
          </cell>
          <cell r="AA788" t="b">
            <v>0</v>
          </cell>
          <cell r="AB788" t="b">
            <v>0</v>
          </cell>
          <cell r="AC788" t="b">
            <v>0</v>
          </cell>
        </row>
        <row r="789">
          <cell r="Y789" t="b">
            <v>0</v>
          </cell>
          <cell r="Z789" t="b">
            <v>0</v>
          </cell>
          <cell r="AA789" t="b">
            <v>0</v>
          </cell>
          <cell r="AB789" t="b">
            <v>0</v>
          </cell>
          <cell r="AC789" t="b">
            <v>0</v>
          </cell>
        </row>
        <row r="790">
          <cell r="Y790" t="b">
            <v>0</v>
          </cell>
          <cell r="Z790" t="b">
            <v>0</v>
          </cell>
          <cell r="AA790" t="b">
            <v>0</v>
          </cell>
          <cell r="AB790" t="b">
            <v>0</v>
          </cell>
          <cell r="AC790" t="b">
            <v>0</v>
          </cell>
        </row>
        <row r="791">
          <cell r="Y791" t="b">
            <v>0</v>
          </cell>
          <cell r="Z791" t="b">
            <v>0</v>
          </cell>
          <cell r="AA791" t="b">
            <v>0</v>
          </cell>
          <cell r="AB791" t="b">
            <v>0</v>
          </cell>
          <cell r="AC791" t="b">
            <v>0</v>
          </cell>
        </row>
        <row r="792">
          <cell r="Y792" t="b">
            <v>0</v>
          </cell>
          <cell r="Z792" t="b">
            <v>0</v>
          </cell>
          <cell r="AA792" t="b">
            <v>0</v>
          </cell>
          <cell r="AB792" t="b">
            <v>0</v>
          </cell>
          <cell r="AC792" t="b">
            <v>0</v>
          </cell>
        </row>
        <row r="793">
          <cell r="Y793" t="b">
            <v>0</v>
          </cell>
          <cell r="Z793" t="b">
            <v>0</v>
          </cell>
          <cell r="AA793" t="b">
            <v>0</v>
          </cell>
          <cell r="AB793" t="b">
            <v>0</v>
          </cell>
          <cell r="AC793" t="b">
            <v>0</v>
          </cell>
        </row>
        <row r="794">
          <cell r="Y794" t="b">
            <v>0</v>
          </cell>
          <cell r="Z794" t="b">
            <v>0</v>
          </cell>
          <cell r="AA794" t="b">
            <v>0</v>
          </cell>
          <cell r="AB794" t="b">
            <v>0</v>
          </cell>
          <cell r="AC794" t="b">
            <v>0</v>
          </cell>
        </row>
        <row r="795">
          <cell r="Y795" t="b">
            <v>0</v>
          </cell>
          <cell r="Z795" t="b">
            <v>0</v>
          </cell>
          <cell r="AA795" t="b">
            <v>0</v>
          </cell>
          <cell r="AB795" t="b">
            <v>0</v>
          </cell>
          <cell r="AC795" t="b">
            <v>0</v>
          </cell>
        </row>
        <row r="796">
          <cell r="Y796" t="b">
            <v>0</v>
          </cell>
          <cell r="Z796" t="b">
            <v>0</v>
          </cell>
          <cell r="AA796" t="b">
            <v>0</v>
          </cell>
          <cell r="AB796" t="b">
            <v>0</v>
          </cell>
          <cell r="AC796" t="b">
            <v>0</v>
          </cell>
        </row>
        <row r="797">
          <cell r="Y797" t="b">
            <v>0</v>
          </cell>
          <cell r="Z797" t="b">
            <v>0</v>
          </cell>
          <cell r="AA797" t="b">
            <v>0</v>
          </cell>
          <cell r="AB797" t="b">
            <v>0</v>
          </cell>
          <cell r="AC797" t="b">
            <v>0</v>
          </cell>
        </row>
        <row r="798">
          <cell r="Y798" t="b">
            <v>0</v>
          </cell>
          <cell r="Z798" t="b">
            <v>0</v>
          </cell>
          <cell r="AA798" t="b">
            <v>0</v>
          </cell>
          <cell r="AB798" t="b">
            <v>0</v>
          </cell>
          <cell r="AC798" t="b">
            <v>0</v>
          </cell>
        </row>
        <row r="799">
          <cell r="Y799" t="b">
            <v>0</v>
          </cell>
          <cell r="Z799" t="b">
            <v>0</v>
          </cell>
          <cell r="AA799" t="b">
            <v>0</v>
          </cell>
          <cell r="AB799" t="b">
            <v>0</v>
          </cell>
          <cell r="AC799" t="b">
            <v>0</v>
          </cell>
        </row>
        <row r="800">
          <cell r="Y800" t="b">
            <v>0</v>
          </cell>
          <cell r="Z800" t="b">
            <v>0</v>
          </cell>
          <cell r="AA800" t="b">
            <v>0</v>
          </cell>
          <cell r="AB800" t="b">
            <v>0</v>
          </cell>
          <cell r="AC800" t="b">
            <v>0</v>
          </cell>
        </row>
        <row r="801">
          <cell r="Y801" t="b">
            <v>0</v>
          </cell>
          <cell r="Z801" t="b">
            <v>0</v>
          </cell>
          <cell r="AA801" t="b">
            <v>0</v>
          </cell>
          <cell r="AB801" t="b">
            <v>0</v>
          </cell>
          <cell r="AC801" t="b">
            <v>0</v>
          </cell>
        </row>
        <row r="802">
          <cell r="Y802" t="b">
            <v>0</v>
          </cell>
          <cell r="Z802" t="b">
            <v>0</v>
          </cell>
          <cell r="AA802" t="b">
            <v>0</v>
          </cell>
          <cell r="AB802" t="b">
            <v>0</v>
          </cell>
          <cell r="AC802" t="b">
            <v>0</v>
          </cell>
        </row>
        <row r="803">
          <cell r="Y803" t="b">
            <v>0</v>
          </cell>
          <cell r="Z803" t="b">
            <v>0</v>
          </cell>
          <cell r="AA803" t="b">
            <v>0</v>
          </cell>
          <cell r="AB803" t="b">
            <v>0</v>
          </cell>
          <cell r="AC803" t="b">
            <v>0</v>
          </cell>
        </row>
        <row r="804">
          <cell r="Y804" t="b">
            <v>0</v>
          </cell>
          <cell r="Z804" t="b">
            <v>0</v>
          </cell>
          <cell r="AA804" t="b">
            <v>0</v>
          </cell>
          <cell r="AB804" t="b">
            <v>0</v>
          </cell>
          <cell r="AC804" t="b">
            <v>0</v>
          </cell>
        </row>
        <row r="805">
          <cell r="Y805" t="b">
            <v>0</v>
          </cell>
          <cell r="Z805" t="b">
            <v>0</v>
          </cell>
          <cell r="AA805" t="b">
            <v>0</v>
          </cell>
          <cell r="AB805" t="b">
            <v>0</v>
          </cell>
          <cell r="AC805" t="b">
            <v>0</v>
          </cell>
        </row>
        <row r="806">
          <cell r="Y806" t="b">
            <v>0</v>
          </cell>
          <cell r="Z806" t="b">
            <v>0</v>
          </cell>
          <cell r="AA806" t="b">
            <v>0</v>
          </cell>
          <cell r="AB806" t="b">
            <v>0</v>
          </cell>
          <cell r="AC806" t="b">
            <v>0</v>
          </cell>
        </row>
        <row r="807">
          <cell r="Y807" t="b">
            <v>0</v>
          </cell>
          <cell r="Z807" t="b">
            <v>0</v>
          </cell>
          <cell r="AA807" t="b">
            <v>0</v>
          </cell>
          <cell r="AB807" t="b">
            <v>0</v>
          </cell>
          <cell r="AC807" t="b">
            <v>0</v>
          </cell>
        </row>
        <row r="808">
          <cell r="Y808" t="b">
            <v>0</v>
          </cell>
          <cell r="Z808" t="b">
            <v>0</v>
          </cell>
          <cell r="AA808" t="b">
            <v>0</v>
          </cell>
          <cell r="AB808" t="b">
            <v>0</v>
          </cell>
          <cell r="AC808" t="b">
            <v>0</v>
          </cell>
        </row>
        <row r="809">
          <cell r="Y809" t="b">
            <v>0</v>
          </cell>
          <cell r="Z809" t="b">
            <v>0</v>
          </cell>
          <cell r="AA809" t="b">
            <v>0</v>
          </cell>
          <cell r="AB809" t="b">
            <v>0</v>
          </cell>
          <cell r="AC809" t="b">
            <v>0</v>
          </cell>
        </row>
        <row r="810">
          <cell r="Y810" t="b">
            <v>0</v>
          </cell>
          <cell r="Z810" t="b">
            <v>0</v>
          </cell>
          <cell r="AA810" t="b">
            <v>0</v>
          </cell>
          <cell r="AB810" t="b">
            <v>0</v>
          </cell>
          <cell r="AC810" t="b">
            <v>0</v>
          </cell>
        </row>
        <row r="811">
          <cell r="Y811" t="b">
            <v>0</v>
          </cell>
          <cell r="Z811" t="b">
            <v>0</v>
          </cell>
          <cell r="AA811" t="b">
            <v>0</v>
          </cell>
          <cell r="AB811" t="b">
            <v>0</v>
          </cell>
          <cell r="AC811" t="b">
            <v>0</v>
          </cell>
        </row>
        <row r="812">
          <cell r="Y812" t="b">
            <v>0</v>
          </cell>
          <cell r="Z812" t="b">
            <v>0</v>
          </cell>
          <cell r="AA812" t="b">
            <v>0</v>
          </cell>
          <cell r="AB812" t="b">
            <v>0</v>
          </cell>
          <cell r="AC812" t="b">
            <v>0</v>
          </cell>
        </row>
        <row r="813">
          <cell r="Y813" t="b">
            <v>0</v>
          </cell>
          <cell r="Z813" t="b">
            <v>0</v>
          </cell>
          <cell r="AA813" t="b">
            <v>0</v>
          </cell>
          <cell r="AB813" t="b">
            <v>0</v>
          </cell>
          <cell r="AC813" t="b">
            <v>0</v>
          </cell>
        </row>
        <row r="814">
          <cell r="Y814" t="b">
            <v>0</v>
          </cell>
          <cell r="Z814" t="b">
            <v>0</v>
          </cell>
          <cell r="AA814" t="b">
            <v>0</v>
          </cell>
          <cell r="AB814" t="b">
            <v>0</v>
          </cell>
          <cell r="AC814" t="b">
            <v>0</v>
          </cell>
        </row>
        <row r="815">
          <cell r="Y815" t="b">
            <v>0</v>
          </cell>
          <cell r="Z815" t="b">
            <v>0</v>
          </cell>
          <cell r="AA815" t="b">
            <v>0</v>
          </cell>
          <cell r="AB815" t="b">
            <v>0</v>
          </cell>
          <cell r="AC815" t="b">
            <v>0</v>
          </cell>
        </row>
        <row r="816">
          <cell r="Y816" t="b">
            <v>0</v>
          </cell>
          <cell r="Z816" t="b">
            <v>0</v>
          </cell>
          <cell r="AA816" t="b">
            <v>0</v>
          </cell>
          <cell r="AB816" t="b">
            <v>0</v>
          </cell>
          <cell r="AC816" t="b">
            <v>0</v>
          </cell>
        </row>
        <row r="817">
          <cell r="Y817" t="b">
            <v>0</v>
          </cell>
          <cell r="Z817" t="b">
            <v>0</v>
          </cell>
          <cell r="AA817" t="b">
            <v>0</v>
          </cell>
          <cell r="AB817" t="b">
            <v>0</v>
          </cell>
          <cell r="AC817" t="b">
            <v>0</v>
          </cell>
        </row>
        <row r="818">
          <cell r="Y818" t="b">
            <v>0</v>
          </cell>
          <cell r="Z818" t="b">
            <v>0</v>
          </cell>
          <cell r="AA818" t="b">
            <v>0</v>
          </cell>
          <cell r="AB818" t="b">
            <v>0</v>
          </cell>
          <cell r="AC818" t="b">
            <v>0</v>
          </cell>
        </row>
        <row r="819">
          <cell r="Y819" t="b">
            <v>0</v>
          </cell>
          <cell r="Z819" t="b">
            <v>0</v>
          </cell>
          <cell r="AA819" t="b">
            <v>0</v>
          </cell>
          <cell r="AB819" t="b">
            <v>0</v>
          </cell>
          <cell r="AC819" t="b">
            <v>0</v>
          </cell>
        </row>
        <row r="820">
          <cell r="Y820" t="b">
            <v>0</v>
          </cell>
          <cell r="Z820" t="b">
            <v>0</v>
          </cell>
          <cell r="AA820" t="b">
            <v>0</v>
          </cell>
          <cell r="AB820" t="b">
            <v>0</v>
          </cell>
          <cell r="AC820" t="b">
            <v>0</v>
          </cell>
        </row>
        <row r="821">
          <cell r="Y821" t="b">
            <v>0</v>
          </cell>
          <cell r="Z821" t="b">
            <v>0</v>
          </cell>
          <cell r="AA821" t="b">
            <v>0</v>
          </cell>
          <cell r="AB821" t="b">
            <v>0</v>
          </cell>
          <cell r="AC821" t="b">
            <v>0</v>
          </cell>
        </row>
        <row r="822">
          <cell r="Y822" t="b">
            <v>0</v>
          </cell>
          <cell r="Z822" t="b">
            <v>0</v>
          </cell>
          <cell r="AA822" t="b">
            <v>0</v>
          </cell>
          <cell r="AB822" t="b">
            <v>0</v>
          </cell>
          <cell r="AC822" t="b">
            <v>0</v>
          </cell>
        </row>
        <row r="823">
          <cell r="Y823" t="b">
            <v>0</v>
          </cell>
          <cell r="Z823" t="b">
            <v>0</v>
          </cell>
          <cell r="AA823" t="b">
            <v>0</v>
          </cell>
          <cell r="AB823" t="b">
            <v>0</v>
          </cell>
          <cell r="AC823" t="b">
            <v>0</v>
          </cell>
        </row>
        <row r="824">
          <cell r="Y824" t="b">
            <v>0</v>
          </cell>
          <cell r="Z824" t="b">
            <v>0</v>
          </cell>
          <cell r="AA824" t="b">
            <v>0</v>
          </cell>
          <cell r="AB824" t="b">
            <v>0</v>
          </cell>
          <cell r="AC824" t="b">
            <v>0</v>
          </cell>
        </row>
        <row r="825">
          <cell r="Y825" t="b">
            <v>0</v>
          </cell>
          <cell r="Z825" t="b">
            <v>0</v>
          </cell>
          <cell r="AA825" t="b">
            <v>0</v>
          </cell>
          <cell r="AB825" t="b">
            <v>0</v>
          </cell>
          <cell r="AC825" t="b">
            <v>0</v>
          </cell>
        </row>
        <row r="826">
          <cell r="Y826" t="b">
            <v>0</v>
          </cell>
          <cell r="Z826" t="b">
            <v>0</v>
          </cell>
          <cell r="AA826" t="b">
            <v>0</v>
          </cell>
          <cell r="AB826" t="b">
            <v>0</v>
          </cell>
          <cell r="AC826" t="b">
            <v>0</v>
          </cell>
        </row>
        <row r="827">
          <cell r="Y827" t="b">
            <v>0</v>
          </cell>
          <cell r="Z827" t="b">
            <v>0</v>
          </cell>
          <cell r="AA827" t="b">
            <v>0</v>
          </cell>
          <cell r="AB827" t="b">
            <v>0</v>
          </cell>
          <cell r="AC827" t="b">
            <v>0</v>
          </cell>
        </row>
        <row r="828">
          <cell r="Y828" t="b">
            <v>0</v>
          </cell>
          <cell r="Z828" t="b">
            <v>0</v>
          </cell>
          <cell r="AA828" t="b">
            <v>0</v>
          </cell>
          <cell r="AB828" t="b">
            <v>0</v>
          </cell>
          <cell r="AC828" t="b">
            <v>0</v>
          </cell>
        </row>
        <row r="829">
          <cell r="Y829" t="b">
            <v>0</v>
          </cell>
          <cell r="Z829" t="b">
            <v>0</v>
          </cell>
          <cell r="AA829" t="b">
            <v>0</v>
          </cell>
          <cell r="AB829" t="b">
            <v>0</v>
          </cell>
          <cell r="AC829" t="b">
            <v>0</v>
          </cell>
        </row>
        <row r="830">
          <cell r="Y830" t="b">
            <v>0</v>
          </cell>
          <cell r="Z830" t="b">
            <v>0</v>
          </cell>
          <cell r="AA830" t="b">
            <v>0</v>
          </cell>
          <cell r="AB830" t="b">
            <v>0</v>
          </cell>
          <cell r="AC830" t="b">
            <v>0</v>
          </cell>
        </row>
        <row r="831">
          <cell r="Y831" t="b">
            <v>0</v>
          </cell>
          <cell r="Z831" t="b">
            <v>0</v>
          </cell>
          <cell r="AA831" t="b">
            <v>0</v>
          </cell>
          <cell r="AB831" t="b">
            <v>0</v>
          </cell>
          <cell r="AC831" t="b">
            <v>0</v>
          </cell>
        </row>
        <row r="832">
          <cell r="Y832" t="b">
            <v>0</v>
          </cell>
          <cell r="Z832" t="b">
            <v>0</v>
          </cell>
          <cell r="AA832" t="b">
            <v>0</v>
          </cell>
          <cell r="AB832" t="b">
            <v>0</v>
          </cell>
          <cell r="AC832" t="b">
            <v>0</v>
          </cell>
        </row>
        <row r="833">
          <cell r="Y833" t="b">
            <v>0</v>
          </cell>
          <cell r="Z833" t="b">
            <v>0</v>
          </cell>
          <cell r="AA833" t="b">
            <v>0</v>
          </cell>
          <cell r="AB833" t="b">
            <v>0</v>
          </cell>
          <cell r="AC833" t="b">
            <v>0</v>
          </cell>
        </row>
        <row r="834">
          <cell r="Y834" t="b">
            <v>0</v>
          </cell>
          <cell r="Z834" t="b">
            <v>0</v>
          </cell>
          <cell r="AA834" t="b">
            <v>0</v>
          </cell>
          <cell r="AB834" t="b">
            <v>0</v>
          </cell>
          <cell r="AC834" t="b">
            <v>0</v>
          </cell>
        </row>
        <row r="835">
          <cell r="Y835" t="b">
            <v>0</v>
          </cell>
          <cell r="Z835" t="b">
            <v>0</v>
          </cell>
          <cell r="AA835" t="b">
            <v>0</v>
          </cell>
          <cell r="AB835" t="b">
            <v>0</v>
          </cell>
          <cell r="AC835" t="b">
            <v>0</v>
          </cell>
        </row>
        <row r="836">
          <cell r="Y836" t="b">
            <v>0</v>
          </cell>
          <cell r="Z836" t="b">
            <v>0</v>
          </cell>
          <cell r="AA836" t="b">
            <v>0</v>
          </cell>
          <cell r="AB836" t="b">
            <v>0</v>
          </cell>
          <cell r="AC836" t="b">
            <v>0</v>
          </cell>
        </row>
        <row r="837">
          <cell r="Y837" t="b">
            <v>0</v>
          </cell>
          <cell r="Z837" t="b">
            <v>0</v>
          </cell>
          <cell r="AA837" t="b">
            <v>0</v>
          </cell>
          <cell r="AB837" t="b">
            <v>0</v>
          </cell>
          <cell r="AC837" t="b">
            <v>0</v>
          </cell>
        </row>
        <row r="838">
          <cell r="Y838" t="b">
            <v>0</v>
          </cell>
          <cell r="Z838" t="b">
            <v>0</v>
          </cell>
          <cell r="AA838" t="b">
            <v>0</v>
          </cell>
          <cell r="AB838" t="b">
            <v>0</v>
          </cell>
          <cell r="AC838" t="b">
            <v>0</v>
          </cell>
        </row>
        <row r="839">
          <cell r="Y839" t="b">
            <v>0</v>
          </cell>
          <cell r="Z839" t="b">
            <v>0</v>
          </cell>
          <cell r="AA839" t="b">
            <v>0</v>
          </cell>
          <cell r="AB839" t="b">
            <v>0</v>
          </cell>
          <cell r="AC839" t="b">
            <v>0</v>
          </cell>
        </row>
        <row r="840">
          <cell r="Y840" t="b">
            <v>0</v>
          </cell>
          <cell r="Z840" t="b">
            <v>0</v>
          </cell>
          <cell r="AA840" t="b">
            <v>0</v>
          </cell>
          <cell r="AB840" t="b">
            <v>0</v>
          </cell>
          <cell r="AC840" t="b">
            <v>0</v>
          </cell>
        </row>
        <row r="841">
          <cell r="Y841" t="b">
            <v>0</v>
          </cell>
          <cell r="Z841" t="b">
            <v>0</v>
          </cell>
          <cell r="AA841" t="b">
            <v>0</v>
          </cell>
          <cell r="AB841" t="b">
            <v>0</v>
          </cell>
          <cell r="AC841" t="b">
            <v>0</v>
          </cell>
        </row>
        <row r="842">
          <cell r="Y842" t="b">
            <v>0</v>
          </cell>
          <cell r="Z842" t="b">
            <v>0</v>
          </cell>
          <cell r="AA842" t="b">
            <v>0</v>
          </cell>
          <cell r="AB842" t="b">
            <v>0</v>
          </cell>
          <cell r="AC842" t="b">
            <v>0</v>
          </cell>
        </row>
        <row r="843">
          <cell r="Y843" t="b">
            <v>0</v>
          </cell>
          <cell r="Z843" t="b">
            <v>0</v>
          </cell>
          <cell r="AA843" t="b">
            <v>0</v>
          </cell>
          <cell r="AB843" t="b">
            <v>0</v>
          </cell>
          <cell r="AC843" t="b">
            <v>0</v>
          </cell>
        </row>
        <row r="844">
          <cell r="Y844" t="b">
            <v>0</v>
          </cell>
          <cell r="Z844" t="b">
            <v>0</v>
          </cell>
          <cell r="AA844" t="b">
            <v>0</v>
          </cell>
          <cell r="AB844" t="b">
            <v>0</v>
          </cell>
          <cell r="AC844" t="b">
            <v>0</v>
          </cell>
        </row>
        <row r="845">
          <cell r="Y845" t="b">
            <v>0</v>
          </cell>
          <cell r="Z845" t="b">
            <v>0</v>
          </cell>
          <cell r="AA845" t="b">
            <v>0</v>
          </cell>
          <cell r="AB845" t="b">
            <v>0</v>
          </cell>
          <cell r="AC845" t="b">
            <v>0</v>
          </cell>
        </row>
        <row r="846">
          <cell r="Y846" t="b">
            <v>0</v>
          </cell>
          <cell r="Z846" t="b">
            <v>0</v>
          </cell>
          <cell r="AA846" t="b">
            <v>0</v>
          </cell>
          <cell r="AB846" t="b">
            <v>0</v>
          </cell>
          <cell r="AC846" t="b">
            <v>0</v>
          </cell>
        </row>
        <row r="847">
          <cell r="Y847" t="b">
            <v>0</v>
          </cell>
          <cell r="Z847" t="b">
            <v>0</v>
          </cell>
          <cell r="AA847" t="b">
            <v>0</v>
          </cell>
          <cell r="AB847" t="b">
            <v>0</v>
          </cell>
          <cell r="AC847" t="b">
            <v>0</v>
          </cell>
        </row>
        <row r="848">
          <cell r="Y848" t="b">
            <v>0</v>
          </cell>
          <cell r="Z848" t="b">
            <v>0</v>
          </cell>
          <cell r="AA848" t="b">
            <v>0</v>
          </cell>
          <cell r="AB848" t="b">
            <v>0</v>
          </cell>
          <cell r="AC848" t="b">
            <v>0</v>
          </cell>
        </row>
        <row r="849">
          <cell r="Y849" t="b">
            <v>0</v>
          </cell>
          <cell r="Z849" t="b">
            <v>0</v>
          </cell>
          <cell r="AA849" t="b">
            <v>0</v>
          </cell>
          <cell r="AB849" t="b">
            <v>0</v>
          </cell>
          <cell r="AC849" t="b">
            <v>0</v>
          </cell>
        </row>
        <row r="850">
          <cell r="Y850" t="b">
            <v>0</v>
          </cell>
          <cell r="Z850" t="b">
            <v>0</v>
          </cell>
          <cell r="AA850" t="b">
            <v>0</v>
          </cell>
          <cell r="AB850" t="b">
            <v>0</v>
          </cell>
          <cell r="AC850" t="b">
            <v>0</v>
          </cell>
        </row>
        <row r="851">
          <cell r="Y851" t="b">
            <v>0</v>
          </cell>
          <cell r="Z851" t="b">
            <v>0</v>
          </cell>
          <cell r="AA851" t="b">
            <v>0</v>
          </cell>
          <cell r="AB851" t="b">
            <v>0</v>
          </cell>
          <cell r="AC851" t="b">
            <v>0</v>
          </cell>
        </row>
        <row r="852">
          <cell r="Y852" t="b">
            <v>0</v>
          </cell>
          <cell r="Z852" t="b">
            <v>0</v>
          </cell>
          <cell r="AA852" t="b">
            <v>0</v>
          </cell>
          <cell r="AB852" t="b">
            <v>0</v>
          </cell>
          <cell r="AC852" t="b">
            <v>0</v>
          </cell>
        </row>
        <row r="853">
          <cell r="Y853" t="b">
            <v>0</v>
          </cell>
          <cell r="Z853" t="b">
            <v>0</v>
          </cell>
          <cell r="AA853" t="b">
            <v>0</v>
          </cell>
          <cell r="AB853" t="b">
            <v>0</v>
          </cell>
          <cell r="AC853" t="b">
            <v>0</v>
          </cell>
        </row>
        <row r="854">
          <cell r="Y854" t="b">
            <v>0</v>
          </cell>
          <cell r="Z854" t="b">
            <v>0</v>
          </cell>
          <cell r="AA854" t="b">
            <v>0</v>
          </cell>
          <cell r="AB854" t="b">
            <v>0</v>
          </cell>
          <cell r="AC854" t="b">
            <v>0</v>
          </cell>
        </row>
        <row r="855">
          <cell r="Y855" t="b">
            <v>0</v>
          </cell>
          <cell r="Z855" t="b">
            <v>0</v>
          </cell>
          <cell r="AA855" t="b">
            <v>0</v>
          </cell>
          <cell r="AB855" t="b">
            <v>0</v>
          </cell>
          <cell r="AC855" t="b">
            <v>0</v>
          </cell>
        </row>
        <row r="856">
          <cell r="Y856" t="b">
            <v>0</v>
          </cell>
          <cell r="Z856" t="b">
            <v>0</v>
          </cell>
          <cell r="AA856" t="b">
            <v>0</v>
          </cell>
          <cell r="AB856" t="b">
            <v>0</v>
          </cell>
          <cell r="AC856" t="b">
            <v>0</v>
          </cell>
        </row>
        <row r="857">
          <cell r="Y857" t="b">
            <v>0</v>
          </cell>
          <cell r="Z857" t="b">
            <v>0</v>
          </cell>
          <cell r="AA857" t="b">
            <v>0</v>
          </cell>
          <cell r="AB857" t="b">
            <v>0</v>
          </cell>
          <cell r="AC857" t="b">
            <v>0</v>
          </cell>
        </row>
        <row r="858">
          <cell r="Y858" t="b">
            <v>0</v>
          </cell>
          <cell r="Z858" t="b">
            <v>0</v>
          </cell>
          <cell r="AA858" t="b">
            <v>0</v>
          </cell>
          <cell r="AB858" t="b">
            <v>0</v>
          </cell>
          <cell r="AC858" t="b">
            <v>0</v>
          </cell>
        </row>
        <row r="859">
          <cell r="Y859" t="b">
            <v>0</v>
          </cell>
          <cell r="Z859" t="b">
            <v>0</v>
          </cell>
          <cell r="AA859" t="b">
            <v>0</v>
          </cell>
          <cell r="AB859" t="b">
            <v>0</v>
          </cell>
          <cell r="AC859" t="b">
            <v>0</v>
          </cell>
        </row>
        <row r="860">
          <cell r="Y860" t="b">
            <v>0</v>
          </cell>
          <cell r="Z860" t="b">
            <v>0</v>
          </cell>
          <cell r="AA860" t="b">
            <v>0</v>
          </cell>
          <cell r="AB860" t="b">
            <v>0</v>
          </cell>
          <cell r="AC860" t="b">
            <v>0</v>
          </cell>
        </row>
        <row r="861">
          <cell r="Y861" t="b">
            <v>0</v>
          </cell>
          <cell r="Z861" t="b">
            <v>0</v>
          </cell>
          <cell r="AA861" t="b">
            <v>0</v>
          </cell>
          <cell r="AB861" t="b">
            <v>0</v>
          </cell>
          <cell r="AC861" t="b">
            <v>0</v>
          </cell>
        </row>
        <row r="862">
          <cell r="Y862" t="b">
            <v>0</v>
          </cell>
          <cell r="Z862" t="b">
            <v>0</v>
          </cell>
          <cell r="AA862" t="b">
            <v>0</v>
          </cell>
          <cell r="AB862" t="b">
            <v>0</v>
          </cell>
          <cell r="AC862" t="b">
            <v>0</v>
          </cell>
        </row>
        <row r="863">
          <cell r="Y863" t="b">
            <v>0</v>
          </cell>
          <cell r="Z863" t="b">
            <v>0</v>
          </cell>
          <cell r="AA863" t="b">
            <v>0</v>
          </cell>
          <cell r="AB863" t="b">
            <v>0</v>
          </cell>
          <cell r="AC863" t="b">
            <v>0</v>
          </cell>
        </row>
        <row r="864">
          <cell r="Y864" t="b">
            <v>0</v>
          </cell>
          <cell r="Z864" t="b">
            <v>0</v>
          </cell>
          <cell r="AA864" t="b">
            <v>0</v>
          </cell>
          <cell r="AB864" t="b">
            <v>0</v>
          </cell>
          <cell r="AC864" t="b">
            <v>0</v>
          </cell>
        </row>
        <row r="865">
          <cell r="Y865" t="b">
            <v>0</v>
          </cell>
          <cell r="Z865" t="b">
            <v>0</v>
          </cell>
          <cell r="AA865" t="b">
            <v>0</v>
          </cell>
          <cell r="AB865" t="b">
            <v>0</v>
          </cell>
          <cell r="AC865" t="b">
            <v>0</v>
          </cell>
        </row>
        <row r="866">
          <cell r="Y866" t="b">
            <v>0</v>
          </cell>
          <cell r="Z866" t="b">
            <v>0</v>
          </cell>
          <cell r="AA866" t="b">
            <v>0</v>
          </cell>
          <cell r="AB866" t="b">
            <v>0</v>
          </cell>
          <cell r="AC866" t="b">
            <v>0</v>
          </cell>
        </row>
        <row r="867">
          <cell r="Y867" t="b">
            <v>0</v>
          </cell>
          <cell r="Z867" t="b">
            <v>0</v>
          </cell>
          <cell r="AA867" t="b">
            <v>0</v>
          </cell>
          <cell r="AB867" t="b">
            <v>0</v>
          </cell>
          <cell r="AC867" t="b">
            <v>0</v>
          </cell>
        </row>
        <row r="868">
          <cell r="Y868" t="b">
            <v>0</v>
          </cell>
          <cell r="Z868" t="b">
            <v>0</v>
          </cell>
          <cell r="AA868" t="b">
            <v>0</v>
          </cell>
          <cell r="AB868" t="b">
            <v>0</v>
          </cell>
          <cell r="AC868" t="b">
            <v>0</v>
          </cell>
        </row>
        <row r="869">
          <cell r="Y869" t="b">
            <v>0</v>
          </cell>
          <cell r="Z869" t="b">
            <v>0</v>
          </cell>
          <cell r="AA869" t="b">
            <v>0</v>
          </cell>
          <cell r="AB869" t="b">
            <v>0</v>
          </cell>
          <cell r="AC869" t="b">
            <v>0</v>
          </cell>
        </row>
        <row r="870">
          <cell r="Y870" t="b">
            <v>0</v>
          </cell>
          <cell r="Z870" t="b">
            <v>0</v>
          </cell>
          <cell r="AA870" t="b">
            <v>0</v>
          </cell>
          <cell r="AB870" t="b">
            <v>0</v>
          </cell>
          <cell r="AC870" t="b">
            <v>0</v>
          </cell>
        </row>
        <row r="871">
          <cell r="Y871" t="b">
            <v>0</v>
          </cell>
          <cell r="Z871" t="b">
            <v>0</v>
          </cell>
          <cell r="AA871" t="b">
            <v>0</v>
          </cell>
          <cell r="AB871" t="b">
            <v>0</v>
          </cell>
          <cell r="AC871" t="b">
            <v>0</v>
          </cell>
        </row>
        <row r="872">
          <cell r="Y872" t="b">
            <v>0</v>
          </cell>
          <cell r="Z872" t="b">
            <v>0</v>
          </cell>
          <cell r="AA872" t="b">
            <v>0</v>
          </cell>
          <cell r="AB872" t="b">
            <v>0</v>
          </cell>
          <cell r="AC872" t="b">
            <v>0</v>
          </cell>
        </row>
        <row r="873">
          <cell r="Y873" t="b">
            <v>0</v>
          </cell>
          <cell r="Z873" t="b">
            <v>0</v>
          </cell>
          <cell r="AA873" t="b">
            <v>0</v>
          </cell>
          <cell r="AB873" t="b">
            <v>0</v>
          </cell>
          <cell r="AC873" t="b">
            <v>0</v>
          </cell>
        </row>
        <row r="874">
          <cell r="Y874" t="b">
            <v>0</v>
          </cell>
          <cell r="Z874" t="b">
            <v>0</v>
          </cell>
          <cell r="AA874" t="b">
            <v>0</v>
          </cell>
          <cell r="AB874" t="b">
            <v>0</v>
          </cell>
          <cell r="AC874" t="b">
            <v>0</v>
          </cell>
        </row>
        <row r="875">
          <cell r="Y875" t="b">
            <v>0</v>
          </cell>
          <cell r="Z875" t="b">
            <v>0</v>
          </cell>
          <cell r="AA875" t="b">
            <v>0</v>
          </cell>
          <cell r="AB875" t="b">
            <v>0</v>
          </cell>
          <cell r="AC875" t="b">
            <v>0</v>
          </cell>
        </row>
        <row r="876">
          <cell r="Y876" t="b">
            <v>0</v>
          </cell>
          <cell r="Z876" t="b">
            <v>0</v>
          </cell>
          <cell r="AA876" t="b">
            <v>0</v>
          </cell>
          <cell r="AB876" t="b">
            <v>0</v>
          </cell>
          <cell r="AC876" t="b">
            <v>0</v>
          </cell>
        </row>
        <row r="877">
          <cell r="Y877" t="b">
            <v>0</v>
          </cell>
          <cell r="Z877" t="b">
            <v>0</v>
          </cell>
          <cell r="AA877" t="b">
            <v>0</v>
          </cell>
          <cell r="AB877" t="b">
            <v>0</v>
          </cell>
          <cell r="AC877" t="b">
            <v>0</v>
          </cell>
        </row>
        <row r="878">
          <cell r="Y878" t="b">
            <v>0</v>
          </cell>
          <cell r="Z878" t="b">
            <v>0</v>
          </cell>
          <cell r="AA878" t="b">
            <v>0</v>
          </cell>
          <cell r="AB878" t="b">
            <v>0</v>
          </cell>
          <cell r="AC878" t="b">
            <v>0</v>
          </cell>
        </row>
        <row r="879">
          <cell r="Y879" t="b">
            <v>0</v>
          </cell>
          <cell r="Z879" t="b">
            <v>0</v>
          </cell>
          <cell r="AA879" t="b">
            <v>0</v>
          </cell>
          <cell r="AB879" t="b">
            <v>0</v>
          </cell>
          <cell r="AC879" t="b">
            <v>0</v>
          </cell>
        </row>
        <row r="880">
          <cell r="Y880" t="b">
            <v>0</v>
          </cell>
          <cell r="Z880" t="b">
            <v>0</v>
          </cell>
          <cell r="AA880" t="b">
            <v>0</v>
          </cell>
          <cell r="AB880" t="b">
            <v>0</v>
          </cell>
          <cell r="AC880" t="b">
            <v>0</v>
          </cell>
        </row>
        <row r="881">
          <cell r="Y881" t="b">
            <v>0</v>
          </cell>
          <cell r="Z881" t="b">
            <v>0</v>
          </cell>
          <cell r="AA881" t="b">
            <v>0</v>
          </cell>
          <cell r="AB881" t="b">
            <v>0</v>
          </cell>
          <cell r="AC881" t="b">
            <v>0</v>
          </cell>
        </row>
        <row r="882">
          <cell r="Y882" t="b">
            <v>0</v>
          </cell>
          <cell r="Z882" t="b">
            <v>0</v>
          </cell>
          <cell r="AA882" t="b">
            <v>0</v>
          </cell>
          <cell r="AB882" t="b">
            <v>0</v>
          </cell>
          <cell r="AC882" t="b">
            <v>0</v>
          </cell>
        </row>
        <row r="883">
          <cell r="Y883" t="b">
            <v>0</v>
          </cell>
          <cell r="Z883" t="b">
            <v>0</v>
          </cell>
          <cell r="AA883" t="b">
            <v>0</v>
          </cell>
          <cell r="AB883" t="b">
            <v>0</v>
          </cell>
          <cell r="AC883" t="b">
            <v>0</v>
          </cell>
        </row>
        <row r="884">
          <cell r="Y884" t="b">
            <v>0</v>
          </cell>
          <cell r="Z884" t="b">
            <v>0</v>
          </cell>
          <cell r="AA884" t="b">
            <v>0</v>
          </cell>
          <cell r="AB884" t="b">
            <v>0</v>
          </cell>
          <cell r="AC884" t="b">
            <v>0</v>
          </cell>
        </row>
        <row r="885">
          <cell r="Y885" t="b">
            <v>0</v>
          </cell>
          <cell r="Z885" t="b">
            <v>0</v>
          </cell>
          <cell r="AA885" t="b">
            <v>0</v>
          </cell>
          <cell r="AB885" t="b">
            <v>0</v>
          </cell>
          <cell r="AC885" t="b">
            <v>0</v>
          </cell>
        </row>
        <row r="886">
          <cell r="Y886" t="b">
            <v>0</v>
          </cell>
          <cell r="Z886" t="b">
            <v>0</v>
          </cell>
          <cell r="AA886" t="b">
            <v>0</v>
          </cell>
          <cell r="AB886" t="b">
            <v>0</v>
          </cell>
          <cell r="AC886" t="b">
            <v>0</v>
          </cell>
        </row>
        <row r="887">
          <cell r="Y887" t="b">
            <v>0</v>
          </cell>
          <cell r="Z887" t="b">
            <v>0</v>
          </cell>
          <cell r="AA887" t="b">
            <v>0</v>
          </cell>
          <cell r="AB887" t="b">
            <v>0</v>
          </cell>
          <cell r="AC887" t="b">
            <v>0</v>
          </cell>
        </row>
        <row r="888">
          <cell r="Y888" t="b">
            <v>0</v>
          </cell>
          <cell r="Z888" t="b">
            <v>0</v>
          </cell>
          <cell r="AA888" t="b">
            <v>0</v>
          </cell>
          <cell r="AB888" t="b">
            <v>0</v>
          </cell>
          <cell r="AC888" t="b">
            <v>0</v>
          </cell>
        </row>
        <row r="889">
          <cell r="Y889" t="b">
            <v>0</v>
          </cell>
          <cell r="Z889" t="b">
            <v>0</v>
          </cell>
          <cell r="AA889" t="b">
            <v>0</v>
          </cell>
          <cell r="AB889" t="b">
            <v>0</v>
          </cell>
          <cell r="AC889" t="b">
            <v>0</v>
          </cell>
        </row>
        <row r="890">
          <cell r="Y890" t="b">
            <v>0</v>
          </cell>
          <cell r="Z890" t="b">
            <v>0</v>
          </cell>
          <cell r="AA890" t="b">
            <v>0</v>
          </cell>
          <cell r="AB890" t="b">
            <v>0</v>
          </cell>
          <cell r="AC890" t="b">
            <v>0</v>
          </cell>
        </row>
        <row r="891">
          <cell r="Y891" t="b">
            <v>0</v>
          </cell>
          <cell r="Z891" t="b">
            <v>0</v>
          </cell>
          <cell r="AA891" t="b">
            <v>0</v>
          </cell>
          <cell r="AB891" t="b">
            <v>0</v>
          </cell>
          <cell r="AC891" t="b">
            <v>0</v>
          </cell>
        </row>
        <row r="892">
          <cell r="Y892" t="b">
            <v>0</v>
          </cell>
          <cell r="Z892" t="b">
            <v>0</v>
          </cell>
          <cell r="AA892" t="b">
            <v>0</v>
          </cell>
          <cell r="AB892" t="b">
            <v>0</v>
          </cell>
          <cell r="AC892" t="b">
            <v>0</v>
          </cell>
        </row>
        <row r="893">
          <cell r="Y893" t="b">
            <v>0</v>
          </cell>
          <cell r="Z893" t="b">
            <v>0</v>
          </cell>
          <cell r="AA893" t="b">
            <v>0</v>
          </cell>
          <cell r="AB893" t="b">
            <v>0</v>
          </cell>
          <cell r="AC893" t="b">
            <v>0</v>
          </cell>
        </row>
        <row r="894">
          <cell r="Y894" t="b">
            <v>0</v>
          </cell>
          <cell r="Z894" t="b">
            <v>0</v>
          </cell>
          <cell r="AA894" t="b">
            <v>0</v>
          </cell>
          <cell r="AB894" t="b">
            <v>0</v>
          </cell>
          <cell r="AC894" t="b">
            <v>0</v>
          </cell>
        </row>
        <row r="895">
          <cell r="Y895" t="b">
            <v>0</v>
          </cell>
          <cell r="Z895" t="b">
            <v>0</v>
          </cell>
          <cell r="AA895" t="b">
            <v>0</v>
          </cell>
          <cell r="AB895" t="b">
            <v>0</v>
          </cell>
          <cell r="AC895" t="b">
            <v>0</v>
          </cell>
        </row>
        <row r="896">
          <cell r="Y896" t="b">
            <v>0</v>
          </cell>
          <cell r="Z896" t="b">
            <v>0</v>
          </cell>
          <cell r="AA896" t="b">
            <v>0</v>
          </cell>
          <cell r="AB896" t="b">
            <v>0</v>
          </cell>
          <cell r="AC896" t="b">
            <v>0</v>
          </cell>
        </row>
        <row r="897">
          <cell r="Y897" t="b">
            <v>0</v>
          </cell>
          <cell r="Z897" t="b">
            <v>0</v>
          </cell>
          <cell r="AA897" t="b">
            <v>0</v>
          </cell>
          <cell r="AB897" t="b">
            <v>0</v>
          </cell>
          <cell r="AC897" t="b">
            <v>0</v>
          </cell>
        </row>
        <row r="898">
          <cell r="Y898" t="b">
            <v>0</v>
          </cell>
          <cell r="Z898" t="b">
            <v>0</v>
          </cell>
          <cell r="AA898" t="b">
            <v>0</v>
          </cell>
          <cell r="AB898" t="b">
            <v>0</v>
          </cell>
          <cell r="AC898" t="b">
            <v>0</v>
          </cell>
        </row>
        <row r="899">
          <cell r="Y899" t="b">
            <v>0</v>
          </cell>
          <cell r="Z899" t="b">
            <v>0</v>
          </cell>
          <cell r="AA899" t="b">
            <v>0</v>
          </cell>
          <cell r="AB899" t="b">
            <v>0</v>
          </cell>
          <cell r="AC899" t="b">
            <v>0</v>
          </cell>
        </row>
        <row r="900">
          <cell r="Y900" t="b">
            <v>0</v>
          </cell>
          <cell r="Z900" t="b">
            <v>0</v>
          </cell>
          <cell r="AA900" t="b">
            <v>0</v>
          </cell>
          <cell r="AB900" t="b">
            <v>0</v>
          </cell>
          <cell r="AC900" t="b">
            <v>0</v>
          </cell>
        </row>
        <row r="901">
          <cell r="Y901" t="b">
            <v>0</v>
          </cell>
          <cell r="Z901" t="b">
            <v>0</v>
          </cell>
          <cell r="AA901" t="b">
            <v>0</v>
          </cell>
          <cell r="AB901" t="b">
            <v>0</v>
          </cell>
          <cell r="AC901" t="b">
            <v>0</v>
          </cell>
        </row>
        <row r="902">
          <cell r="Y902" t="b">
            <v>0</v>
          </cell>
          <cell r="Z902" t="b">
            <v>0</v>
          </cell>
          <cell r="AA902" t="b">
            <v>0</v>
          </cell>
          <cell r="AB902" t="b">
            <v>0</v>
          </cell>
          <cell r="AC902" t="b">
            <v>0</v>
          </cell>
        </row>
        <row r="903">
          <cell r="Y903" t="b">
            <v>0</v>
          </cell>
          <cell r="Z903" t="b">
            <v>0</v>
          </cell>
          <cell r="AA903" t="b">
            <v>0</v>
          </cell>
          <cell r="AB903" t="b">
            <v>0</v>
          </cell>
          <cell r="AC903" t="b">
            <v>0</v>
          </cell>
        </row>
        <row r="904">
          <cell r="Y904" t="b">
            <v>0</v>
          </cell>
          <cell r="Z904" t="b">
            <v>0</v>
          </cell>
          <cell r="AA904" t="b">
            <v>0</v>
          </cell>
          <cell r="AB904" t="b">
            <v>0</v>
          </cell>
          <cell r="AC904" t="b">
            <v>0</v>
          </cell>
        </row>
        <row r="905">
          <cell r="Y905" t="b">
            <v>0</v>
          </cell>
          <cell r="Z905" t="b">
            <v>0</v>
          </cell>
          <cell r="AA905" t="b">
            <v>0</v>
          </cell>
          <cell r="AB905" t="b">
            <v>0</v>
          </cell>
          <cell r="AC905" t="b">
            <v>0</v>
          </cell>
        </row>
        <row r="906">
          <cell r="Y906" t="b">
            <v>0</v>
          </cell>
          <cell r="Z906" t="b">
            <v>0</v>
          </cell>
          <cell r="AA906" t="b">
            <v>0</v>
          </cell>
          <cell r="AB906" t="b">
            <v>0</v>
          </cell>
          <cell r="AC906" t="b">
            <v>0</v>
          </cell>
        </row>
        <row r="907">
          <cell r="Y907" t="b">
            <v>0</v>
          </cell>
          <cell r="Z907" t="b">
            <v>0</v>
          </cell>
          <cell r="AA907" t="b">
            <v>0</v>
          </cell>
          <cell r="AB907" t="b">
            <v>0</v>
          </cell>
          <cell r="AC907" t="b">
            <v>0</v>
          </cell>
        </row>
        <row r="908">
          <cell r="Y908" t="b">
            <v>0</v>
          </cell>
          <cell r="Z908" t="b">
            <v>0</v>
          </cell>
          <cell r="AA908" t="b">
            <v>0</v>
          </cell>
          <cell r="AB908" t="b">
            <v>0</v>
          </cell>
          <cell r="AC908" t="b">
            <v>0</v>
          </cell>
        </row>
        <row r="909">
          <cell r="Y909" t="b">
            <v>0</v>
          </cell>
          <cell r="Z909" t="b">
            <v>0</v>
          </cell>
          <cell r="AA909" t="b">
            <v>0</v>
          </cell>
          <cell r="AB909" t="b">
            <v>0</v>
          </cell>
          <cell r="AC909" t="b">
            <v>0</v>
          </cell>
        </row>
        <row r="910">
          <cell r="Y910" t="b">
            <v>0</v>
          </cell>
          <cell r="Z910" t="b">
            <v>0</v>
          </cell>
          <cell r="AA910" t="b">
            <v>0</v>
          </cell>
          <cell r="AB910" t="b">
            <v>0</v>
          </cell>
          <cell r="AC910" t="b">
            <v>0</v>
          </cell>
        </row>
        <row r="911">
          <cell r="Y911" t="b">
            <v>0</v>
          </cell>
          <cell r="Z911" t="b">
            <v>0</v>
          </cell>
          <cell r="AA911" t="b">
            <v>0</v>
          </cell>
          <cell r="AB911" t="b">
            <v>0</v>
          </cell>
          <cell r="AC911" t="b">
            <v>0</v>
          </cell>
        </row>
        <row r="912">
          <cell r="Y912" t="b">
            <v>0</v>
          </cell>
          <cell r="Z912" t="b">
            <v>0</v>
          </cell>
          <cell r="AA912" t="b">
            <v>0</v>
          </cell>
          <cell r="AB912" t="b">
            <v>0</v>
          </cell>
          <cell r="AC912" t="b">
            <v>0</v>
          </cell>
        </row>
        <row r="913">
          <cell r="Y913" t="b">
            <v>0</v>
          </cell>
          <cell r="Z913" t="b">
            <v>0</v>
          </cell>
          <cell r="AA913" t="b">
            <v>0</v>
          </cell>
          <cell r="AB913" t="b">
            <v>0</v>
          </cell>
          <cell r="AC913" t="b">
            <v>0</v>
          </cell>
        </row>
        <row r="914">
          <cell r="Y914" t="b">
            <v>0</v>
          </cell>
          <cell r="Z914" t="b">
            <v>0</v>
          </cell>
          <cell r="AA914" t="b">
            <v>0</v>
          </cell>
          <cell r="AB914" t="b">
            <v>0</v>
          </cell>
          <cell r="AC914" t="b">
            <v>0</v>
          </cell>
        </row>
        <row r="915">
          <cell r="Y915" t="b">
            <v>0</v>
          </cell>
          <cell r="Z915" t="b">
            <v>0</v>
          </cell>
          <cell r="AA915" t="b">
            <v>0</v>
          </cell>
          <cell r="AB915" t="b">
            <v>0</v>
          </cell>
          <cell r="AC915" t="b">
            <v>0</v>
          </cell>
        </row>
        <row r="916">
          <cell r="Y916" t="b">
            <v>0</v>
          </cell>
          <cell r="Z916" t="b">
            <v>0</v>
          </cell>
          <cell r="AA916" t="b">
            <v>0</v>
          </cell>
          <cell r="AB916" t="b">
            <v>0</v>
          </cell>
          <cell r="AC916" t="b">
            <v>0</v>
          </cell>
        </row>
        <row r="917">
          <cell r="Y917" t="b">
            <v>0</v>
          </cell>
          <cell r="Z917" t="b">
            <v>0</v>
          </cell>
          <cell r="AA917" t="b">
            <v>0</v>
          </cell>
          <cell r="AB917" t="b">
            <v>0</v>
          </cell>
          <cell r="AC917" t="b">
            <v>0</v>
          </cell>
        </row>
        <row r="918">
          <cell r="Y918" t="b">
            <v>0</v>
          </cell>
          <cell r="Z918" t="b">
            <v>0</v>
          </cell>
          <cell r="AA918" t="b">
            <v>0</v>
          </cell>
          <cell r="AB918" t="b">
            <v>0</v>
          </cell>
          <cell r="AC918" t="b">
            <v>0</v>
          </cell>
        </row>
        <row r="919">
          <cell r="Y919" t="b">
            <v>0</v>
          </cell>
          <cell r="Z919" t="b">
            <v>0</v>
          </cell>
          <cell r="AA919" t="b">
            <v>0</v>
          </cell>
          <cell r="AB919" t="b">
            <v>0</v>
          </cell>
          <cell r="AC919" t="b">
            <v>0</v>
          </cell>
        </row>
        <row r="920">
          <cell r="Y920" t="b">
            <v>0</v>
          </cell>
          <cell r="Z920" t="b">
            <v>0</v>
          </cell>
          <cell r="AA920" t="b">
            <v>0</v>
          </cell>
          <cell r="AB920" t="b">
            <v>0</v>
          </cell>
          <cell r="AC920" t="b">
            <v>0</v>
          </cell>
        </row>
        <row r="921">
          <cell r="Y921" t="b">
            <v>0</v>
          </cell>
          <cell r="Z921" t="b">
            <v>0</v>
          </cell>
          <cell r="AA921" t="b">
            <v>0</v>
          </cell>
          <cell r="AB921" t="b">
            <v>0</v>
          </cell>
          <cell r="AC921" t="b">
            <v>0</v>
          </cell>
        </row>
        <row r="922">
          <cell r="Y922" t="b">
            <v>0</v>
          </cell>
          <cell r="Z922" t="b">
            <v>0</v>
          </cell>
          <cell r="AA922" t="b">
            <v>0</v>
          </cell>
          <cell r="AB922" t="b">
            <v>0</v>
          </cell>
          <cell r="AC922" t="b">
            <v>0</v>
          </cell>
        </row>
        <row r="923">
          <cell r="Y923" t="b">
            <v>0</v>
          </cell>
          <cell r="Z923" t="b">
            <v>0</v>
          </cell>
          <cell r="AA923" t="b">
            <v>0</v>
          </cell>
          <cell r="AB923" t="b">
            <v>0</v>
          </cell>
          <cell r="AC923" t="b">
            <v>0</v>
          </cell>
        </row>
        <row r="924">
          <cell r="Y924" t="b">
            <v>0</v>
          </cell>
          <cell r="Z924" t="b">
            <v>0</v>
          </cell>
          <cell r="AA924" t="b">
            <v>0</v>
          </cell>
          <cell r="AB924" t="b">
            <v>0</v>
          </cell>
          <cell r="AC924" t="b">
            <v>0</v>
          </cell>
        </row>
        <row r="925">
          <cell r="Y925" t="b">
            <v>0</v>
          </cell>
          <cell r="Z925" t="b">
            <v>0</v>
          </cell>
          <cell r="AA925" t="b">
            <v>0</v>
          </cell>
          <cell r="AB925" t="b">
            <v>0</v>
          </cell>
          <cell r="AC925" t="b">
            <v>0</v>
          </cell>
        </row>
        <row r="926">
          <cell r="Y926" t="b">
            <v>0</v>
          </cell>
          <cell r="Z926" t="b">
            <v>0</v>
          </cell>
          <cell r="AA926" t="b">
            <v>0</v>
          </cell>
          <cell r="AB926" t="b">
            <v>0</v>
          </cell>
          <cell r="AC926" t="b">
            <v>0</v>
          </cell>
        </row>
        <row r="927">
          <cell r="Y927" t="b">
            <v>0</v>
          </cell>
          <cell r="Z927" t="b">
            <v>0</v>
          </cell>
          <cell r="AA927" t="b">
            <v>0</v>
          </cell>
          <cell r="AB927" t="b">
            <v>0</v>
          </cell>
          <cell r="AC927" t="b">
            <v>0</v>
          </cell>
        </row>
        <row r="928">
          <cell r="Y928" t="b">
            <v>0</v>
          </cell>
          <cell r="Z928" t="b">
            <v>0</v>
          </cell>
          <cell r="AA928" t="b">
            <v>0</v>
          </cell>
          <cell r="AB928" t="b">
            <v>0</v>
          </cell>
          <cell r="AC928" t="b">
            <v>0</v>
          </cell>
        </row>
        <row r="929">
          <cell r="Y929" t="b">
            <v>0</v>
          </cell>
          <cell r="Z929" t="b">
            <v>0</v>
          </cell>
          <cell r="AA929" t="b">
            <v>0</v>
          </cell>
          <cell r="AB929" t="b">
            <v>0</v>
          </cell>
          <cell r="AC929" t="b">
            <v>0</v>
          </cell>
        </row>
        <row r="930">
          <cell r="Y930" t="b">
            <v>0</v>
          </cell>
          <cell r="Z930" t="b">
            <v>0</v>
          </cell>
          <cell r="AA930" t="b">
            <v>0</v>
          </cell>
          <cell r="AB930" t="b">
            <v>0</v>
          </cell>
          <cell r="AC930" t="b">
            <v>0</v>
          </cell>
        </row>
        <row r="931">
          <cell r="Y931" t="b">
            <v>0</v>
          </cell>
          <cell r="Z931" t="b">
            <v>0</v>
          </cell>
          <cell r="AA931" t="b">
            <v>0</v>
          </cell>
          <cell r="AB931" t="b">
            <v>0</v>
          </cell>
          <cell r="AC931" t="b">
            <v>0</v>
          </cell>
        </row>
        <row r="932">
          <cell r="Y932" t="b">
            <v>0</v>
          </cell>
          <cell r="Z932" t="b">
            <v>0</v>
          </cell>
          <cell r="AA932" t="b">
            <v>0</v>
          </cell>
          <cell r="AB932" t="b">
            <v>0</v>
          </cell>
          <cell r="AC932" t="b">
            <v>0</v>
          </cell>
        </row>
        <row r="933">
          <cell r="Y933" t="b">
            <v>0</v>
          </cell>
          <cell r="Z933" t="b">
            <v>0</v>
          </cell>
          <cell r="AA933" t="b">
            <v>0</v>
          </cell>
          <cell r="AB933" t="b">
            <v>0</v>
          </cell>
          <cell r="AC933" t="b">
            <v>0</v>
          </cell>
        </row>
        <row r="934">
          <cell r="Y934" t="b">
            <v>0</v>
          </cell>
          <cell r="Z934" t="b">
            <v>0</v>
          </cell>
          <cell r="AA934" t="b">
            <v>0</v>
          </cell>
          <cell r="AB934" t="b">
            <v>0</v>
          </cell>
          <cell r="AC934" t="b">
            <v>0</v>
          </cell>
        </row>
        <row r="935">
          <cell r="Y935" t="b">
            <v>0</v>
          </cell>
          <cell r="Z935" t="b">
            <v>0</v>
          </cell>
          <cell r="AA935" t="b">
            <v>0</v>
          </cell>
          <cell r="AB935" t="b">
            <v>0</v>
          </cell>
          <cell r="AC935" t="b">
            <v>0</v>
          </cell>
        </row>
        <row r="936">
          <cell r="Y936" t="b">
            <v>0</v>
          </cell>
          <cell r="Z936" t="b">
            <v>0</v>
          </cell>
          <cell r="AA936" t="b">
            <v>0</v>
          </cell>
          <cell r="AB936" t="b">
            <v>0</v>
          </cell>
          <cell r="AC936" t="b">
            <v>0</v>
          </cell>
        </row>
        <row r="937">
          <cell r="Y937" t="b">
            <v>0</v>
          </cell>
          <cell r="Z937" t="b">
            <v>0</v>
          </cell>
          <cell r="AA937" t="b">
            <v>0</v>
          </cell>
          <cell r="AB937" t="b">
            <v>0</v>
          </cell>
          <cell r="AC937" t="b">
            <v>0</v>
          </cell>
        </row>
        <row r="938">
          <cell r="Y938" t="b">
            <v>0</v>
          </cell>
          <cell r="Z938" t="b">
            <v>0</v>
          </cell>
          <cell r="AA938" t="b">
            <v>0</v>
          </cell>
          <cell r="AB938" t="b">
            <v>0</v>
          </cell>
          <cell r="AC938" t="b">
            <v>0</v>
          </cell>
        </row>
        <row r="939">
          <cell r="Y939" t="b">
            <v>0</v>
          </cell>
          <cell r="Z939" t="b">
            <v>0</v>
          </cell>
          <cell r="AA939" t="b">
            <v>0</v>
          </cell>
          <cell r="AB939" t="b">
            <v>0</v>
          </cell>
          <cell r="AC939" t="b">
            <v>0</v>
          </cell>
        </row>
        <row r="940">
          <cell r="Y940" t="b">
            <v>0</v>
          </cell>
          <cell r="Z940" t="b">
            <v>0</v>
          </cell>
          <cell r="AA940" t="b">
            <v>0</v>
          </cell>
          <cell r="AB940" t="b">
            <v>0</v>
          </cell>
          <cell r="AC940" t="b">
            <v>0</v>
          </cell>
        </row>
        <row r="941">
          <cell r="Y941" t="b">
            <v>0</v>
          </cell>
          <cell r="Z941" t="b">
            <v>0</v>
          </cell>
          <cell r="AA941" t="b">
            <v>0</v>
          </cell>
          <cell r="AB941" t="b">
            <v>0</v>
          </cell>
          <cell r="AC941" t="b">
            <v>0</v>
          </cell>
        </row>
        <row r="942">
          <cell r="Y942" t="b">
            <v>0</v>
          </cell>
          <cell r="Z942" t="b">
            <v>0</v>
          </cell>
          <cell r="AA942" t="b">
            <v>0</v>
          </cell>
          <cell r="AB942" t="b">
            <v>0</v>
          </cell>
          <cell r="AC942" t="b">
            <v>0</v>
          </cell>
        </row>
        <row r="943">
          <cell r="Y943" t="b">
            <v>0</v>
          </cell>
          <cell r="Z943" t="b">
            <v>0</v>
          </cell>
          <cell r="AA943" t="b">
            <v>0</v>
          </cell>
          <cell r="AB943" t="b">
            <v>0</v>
          </cell>
          <cell r="AC943" t="b">
            <v>0</v>
          </cell>
        </row>
        <row r="944">
          <cell r="Y944" t="b">
            <v>0</v>
          </cell>
          <cell r="Z944" t="b">
            <v>0</v>
          </cell>
          <cell r="AA944" t="b">
            <v>0</v>
          </cell>
          <cell r="AB944" t="b">
            <v>0</v>
          </cell>
          <cell r="AC944" t="b">
            <v>0</v>
          </cell>
        </row>
        <row r="945">
          <cell r="Y945" t="b">
            <v>0</v>
          </cell>
          <cell r="Z945" t="b">
            <v>0</v>
          </cell>
          <cell r="AA945" t="b">
            <v>0</v>
          </cell>
          <cell r="AB945" t="b">
            <v>0</v>
          </cell>
          <cell r="AC945" t="b">
            <v>0</v>
          </cell>
        </row>
        <row r="946">
          <cell r="Y946" t="b">
            <v>0</v>
          </cell>
          <cell r="Z946" t="b">
            <v>0</v>
          </cell>
          <cell r="AA946" t="b">
            <v>0</v>
          </cell>
          <cell r="AB946" t="b">
            <v>0</v>
          </cell>
          <cell r="AC946" t="b">
            <v>0</v>
          </cell>
        </row>
        <row r="947">
          <cell r="Y947" t="b">
            <v>0</v>
          </cell>
          <cell r="Z947" t="b">
            <v>0</v>
          </cell>
          <cell r="AA947" t="b">
            <v>0</v>
          </cell>
          <cell r="AB947" t="b">
            <v>0</v>
          </cell>
          <cell r="AC947" t="b">
            <v>0</v>
          </cell>
        </row>
        <row r="948">
          <cell r="Y948" t="b">
            <v>0</v>
          </cell>
          <cell r="Z948" t="b">
            <v>0</v>
          </cell>
          <cell r="AA948" t="b">
            <v>0</v>
          </cell>
          <cell r="AB948" t="b">
            <v>0</v>
          </cell>
          <cell r="AC948" t="b">
            <v>0</v>
          </cell>
        </row>
        <row r="949">
          <cell r="Y949" t="b">
            <v>0</v>
          </cell>
          <cell r="Z949" t="b">
            <v>0</v>
          </cell>
          <cell r="AA949" t="b">
            <v>0</v>
          </cell>
          <cell r="AB949" t="b">
            <v>0</v>
          </cell>
          <cell r="AC949" t="b">
            <v>0</v>
          </cell>
        </row>
        <row r="950">
          <cell r="Y950" t="b">
            <v>0</v>
          </cell>
          <cell r="Z950" t="b">
            <v>0</v>
          </cell>
          <cell r="AA950" t="b">
            <v>0</v>
          </cell>
          <cell r="AB950" t="b">
            <v>0</v>
          </cell>
          <cell r="AC950" t="b">
            <v>0</v>
          </cell>
        </row>
        <row r="951">
          <cell r="Y951" t="b">
            <v>0</v>
          </cell>
          <cell r="Z951" t="b">
            <v>0</v>
          </cell>
          <cell r="AA951" t="b">
            <v>0</v>
          </cell>
          <cell r="AB951" t="b">
            <v>0</v>
          </cell>
          <cell r="AC951" t="b">
            <v>0</v>
          </cell>
        </row>
        <row r="952">
          <cell r="Y952" t="b">
            <v>0</v>
          </cell>
          <cell r="Z952" t="b">
            <v>0</v>
          </cell>
          <cell r="AA952" t="b">
            <v>0</v>
          </cell>
          <cell r="AB952" t="b">
            <v>0</v>
          </cell>
          <cell r="AC952" t="b">
            <v>0</v>
          </cell>
        </row>
        <row r="953">
          <cell r="Y953" t="b">
            <v>0</v>
          </cell>
          <cell r="Z953" t="b">
            <v>0</v>
          </cell>
          <cell r="AA953" t="b">
            <v>0</v>
          </cell>
          <cell r="AB953" t="b">
            <v>0</v>
          </cell>
          <cell r="AC953" t="b">
            <v>0</v>
          </cell>
        </row>
        <row r="954">
          <cell r="Y954" t="b">
            <v>0</v>
          </cell>
          <cell r="Z954" t="b">
            <v>0</v>
          </cell>
          <cell r="AA954" t="b">
            <v>0</v>
          </cell>
          <cell r="AB954" t="b">
            <v>0</v>
          </cell>
          <cell r="AC954" t="b">
            <v>0</v>
          </cell>
        </row>
        <row r="955">
          <cell r="Y955" t="b">
            <v>0</v>
          </cell>
          <cell r="Z955" t="b">
            <v>0</v>
          </cell>
          <cell r="AA955" t="b">
            <v>0</v>
          </cell>
          <cell r="AB955" t="b">
            <v>0</v>
          </cell>
          <cell r="AC955" t="b">
            <v>0</v>
          </cell>
        </row>
        <row r="956">
          <cell r="Y956" t="b">
            <v>0</v>
          </cell>
          <cell r="Z956" t="b">
            <v>0</v>
          </cell>
          <cell r="AA956" t="b">
            <v>0</v>
          </cell>
          <cell r="AB956" t="b">
            <v>0</v>
          </cell>
          <cell r="AC956" t="b">
            <v>0</v>
          </cell>
        </row>
        <row r="957">
          <cell r="Y957" t="b">
            <v>0</v>
          </cell>
          <cell r="Z957" t="b">
            <v>0</v>
          </cell>
          <cell r="AA957" t="b">
            <v>0</v>
          </cell>
          <cell r="AB957" t="b">
            <v>0</v>
          </cell>
          <cell r="AC957" t="b">
            <v>0</v>
          </cell>
        </row>
        <row r="958">
          <cell r="Y958" t="b">
            <v>0</v>
          </cell>
          <cell r="Z958" t="b">
            <v>0</v>
          </cell>
          <cell r="AA958" t="b">
            <v>0</v>
          </cell>
          <cell r="AB958" t="b">
            <v>0</v>
          </cell>
          <cell r="AC958" t="b">
            <v>0</v>
          </cell>
        </row>
        <row r="959">
          <cell r="Y959" t="b">
            <v>0</v>
          </cell>
          <cell r="Z959" t="b">
            <v>0</v>
          </cell>
          <cell r="AA959" t="b">
            <v>0</v>
          </cell>
          <cell r="AB959" t="b">
            <v>0</v>
          </cell>
          <cell r="AC959" t="b">
            <v>0</v>
          </cell>
        </row>
        <row r="960">
          <cell r="Y960" t="b">
            <v>0</v>
          </cell>
          <cell r="Z960" t="b">
            <v>0</v>
          </cell>
          <cell r="AA960" t="b">
            <v>0</v>
          </cell>
          <cell r="AB960" t="b">
            <v>0</v>
          </cell>
          <cell r="AC960" t="b">
            <v>0</v>
          </cell>
        </row>
        <row r="961">
          <cell r="Y961" t="b">
            <v>0</v>
          </cell>
          <cell r="Z961" t="b">
            <v>0</v>
          </cell>
          <cell r="AA961" t="b">
            <v>0</v>
          </cell>
          <cell r="AB961" t="b">
            <v>0</v>
          </cell>
          <cell r="AC961" t="b">
            <v>0</v>
          </cell>
        </row>
        <row r="962">
          <cell r="Y962" t="b">
            <v>0</v>
          </cell>
          <cell r="Z962" t="b">
            <v>0</v>
          </cell>
          <cell r="AA962" t="b">
            <v>0</v>
          </cell>
          <cell r="AB962" t="b">
            <v>0</v>
          </cell>
          <cell r="AC962" t="b">
            <v>0</v>
          </cell>
        </row>
        <row r="963">
          <cell r="Y963" t="b">
            <v>0</v>
          </cell>
          <cell r="Z963" t="b">
            <v>0</v>
          </cell>
          <cell r="AA963" t="b">
            <v>0</v>
          </cell>
          <cell r="AB963" t="b">
            <v>0</v>
          </cell>
          <cell r="AC963" t="b">
            <v>0</v>
          </cell>
        </row>
        <row r="964">
          <cell r="Y964" t="b">
            <v>0</v>
          </cell>
          <cell r="Z964" t="b">
            <v>0</v>
          </cell>
          <cell r="AA964" t="b">
            <v>0</v>
          </cell>
          <cell r="AB964" t="b">
            <v>0</v>
          </cell>
          <cell r="AC964" t="b">
            <v>0</v>
          </cell>
        </row>
        <row r="965">
          <cell r="Y965" t="b">
            <v>0</v>
          </cell>
          <cell r="Z965" t="b">
            <v>0</v>
          </cell>
          <cell r="AA965" t="b">
            <v>0</v>
          </cell>
          <cell r="AB965" t="b">
            <v>0</v>
          </cell>
          <cell r="AC965" t="b">
            <v>0</v>
          </cell>
        </row>
        <row r="966">
          <cell r="Y966" t="b">
            <v>0</v>
          </cell>
          <cell r="Z966" t="b">
            <v>0</v>
          </cell>
          <cell r="AA966" t="b">
            <v>0</v>
          </cell>
          <cell r="AB966" t="b">
            <v>0</v>
          </cell>
          <cell r="AC966" t="b">
            <v>0</v>
          </cell>
        </row>
        <row r="967">
          <cell r="Y967" t="b">
            <v>0</v>
          </cell>
          <cell r="Z967" t="b">
            <v>0</v>
          </cell>
          <cell r="AA967" t="b">
            <v>0</v>
          </cell>
          <cell r="AB967" t="b">
            <v>0</v>
          </cell>
          <cell r="AC967" t="b">
            <v>0</v>
          </cell>
        </row>
        <row r="968">
          <cell r="Y968" t="b">
            <v>0</v>
          </cell>
          <cell r="Z968" t="b">
            <v>0</v>
          </cell>
          <cell r="AA968" t="b">
            <v>0</v>
          </cell>
          <cell r="AB968" t="b">
            <v>0</v>
          </cell>
          <cell r="AC968" t="b">
            <v>0</v>
          </cell>
        </row>
        <row r="969">
          <cell r="Y969" t="b">
            <v>0</v>
          </cell>
          <cell r="Z969" t="b">
            <v>0</v>
          </cell>
          <cell r="AA969" t="b">
            <v>0</v>
          </cell>
          <cell r="AB969" t="b">
            <v>0</v>
          </cell>
          <cell r="AC969" t="b">
            <v>0</v>
          </cell>
        </row>
        <row r="970">
          <cell r="Y970" t="b">
            <v>0</v>
          </cell>
          <cell r="Z970" t="b">
            <v>0</v>
          </cell>
          <cell r="AA970" t="b">
            <v>0</v>
          </cell>
          <cell r="AB970" t="b">
            <v>0</v>
          </cell>
          <cell r="AC970" t="b">
            <v>0</v>
          </cell>
        </row>
        <row r="971">
          <cell r="Y971" t="b">
            <v>0</v>
          </cell>
          <cell r="Z971" t="b">
            <v>0</v>
          </cell>
          <cell r="AA971" t="b">
            <v>0</v>
          </cell>
          <cell r="AB971" t="b">
            <v>0</v>
          </cell>
          <cell r="AC971" t="b">
            <v>0</v>
          </cell>
        </row>
        <row r="972">
          <cell r="Y972" t="b">
            <v>0</v>
          </cell>
          <cell r="Z972" t="b">
            <v>0</v>
          </cell>
          <cell r="AA972" t="b">
            <v>0</v>
          </cell>
          <cell r="AB972" t="b">
            <v>0</v>
          </cell>
          <cell r="AC972" t="b">
            <v>0</v>
          </cell>
        </row>
        <row r="973">
          <cell r="Y973" t="b">
            <v>0</v>
          </cell>
          <cell r="Z973" t="b">
            <v>0</v>
          </cell>
          <cell r="AA973" t="b">
            <v>0</v>
          </cell>
          <cell r="AB973" t="b">
            <v>0</v>
          </cell>
          <cell r="AC973" t="b">
            <v>0</v>
          </cell>
        </row>
        <row r="974">
          <cell r="Y974" t="b">
            <v>0</v>
          </cell>
          <cell r="Z974" t="b">
            <v>0</v>
          </cell>
          <cell r="AA974" t="b">
            <v>0</v>
          </cell>
          <cell r="AB974" t="b">
            <v>0</v>
          </cell>
          <cell r="AC974" t="b">
            <v>0</v>
          </cell>
        </row>
        <row r="975">
          <cell r="Y975" t="b">
            <v>0</v>
          </cell>
          <cell r="Z975" t="b">
            <v>0</v>
          </cell>
          <cell r="AA975" t="b">
            <v>0</v>
          </cell>
          <cell r="AB975" t="b">
            <v>0</v>
          </cell>
          <cell r="AC975" t="b">
            <v>0</v>
          </cell>
        </row>
        <row r="976">
          <cell r="Y976" t="b">
            <v>0</v>
          </cell>
          <cell r="Z976" t="b">
            <v>0</v>
          </cell>
          <cell r="AA976" t="b">
            <v>0</v>
          </cell>
          <cell r="AB976" t="b">
            <v>0</v>
          </cell>
          <cell r="AC976" t="b">
            <v>0</v>
          </cell>
        </row>
        <row r="977">
          <cell r="Y977" t="b">
            <v>0</v>
          </cell>
          <cell r="Z977" t="b">
            <v>0</v>
          </cell>
          <cell r="AA977" t="b">
            <v>0</v>
          </cell>
          <cell r="AB977" t="b">
            <v>0</v>
          </cell>
          <cell r="AC977" t="b">
            <v>0</v>
          </cell>
        </row>
        <row r="978">
          <cell r="Y978" t="b">
            <v>0</v>
          </cell>
          <cell r="Z978" t="b">
            <v>0</v>
          </cell>
          <cell r="AA978" t="b">
            <v>0</v>
          </cell>
          <cell r="AB978" t="b">
            <v>0</v>
          </cell>
          <cell r="AC978" t="b">
            <v>0</v>
          </cell>
        </row>
        <row r="979">
          <cell r="Y979" t="b">
            <v>0</v>
          </cell>
          <cell r="Z979" t="b">
            <v>0</v>
          </cell>
          <cell r="AA979" t="b">
            <v>0</v>
          </cell>
          <cell r="AB979" t="b">
            <v>0</v>
          </cell>
          <cell r="AC979" t="b">
            <v>0</v>
          </cell>
        </row>
        <row r="980">
          <cell r="Y980" t="b">
            <v>0</v>
          </cell>
          <cell r="Z980" t="b">
            <v>0</v>
          </cell>
          <cell r="AA980" t="b">
            <v>0</v>
          </cell>
          <cell r="AB980" t="b">
            <v>0</v>
          </cell>
          <cell r="AC980" t="b">
            <v>0</v>
          </cell>
        </row>
        <row r="981">
          <cell r="Y981" t="b">
            <v>0</v>
          </cell>
          <cell r="Z981" t="b">
            <v>0</v>
          </cell>
          <cell r="AA981" t="b">
            <v>0</v>
          </cell>
          <cell r="AB981" t="b">
            <v>0</v>
          </cell>
          <cell r="AC981" t="b">
            <v>0</v>
          </cell>
        </row>
        <row r="982">
          <cell r="Y982" t="b">
            <v>0</v>
          </cell>
          <cell r="Z982" t="b">
            <v>0</v>
          </cell>
          <cell r="AA982" t="b">
            <v>0</v>
          </cell>
          <cell r="AB982" t="b">
            <v>0</v>
          </cell>
          <cell r="AC982" t="b">
            <v>0</v>
          </cell>
        </row>
        <row r="983">
          <cell r="Y983" t="b">
            <v>0</v>
          </cell>
          <cell r="Z983" t="b">
            <v>0</v>
          </cell>
          <cell r="AA983" t="b">
            <v>0</v>
          </cell>
          <cell r="AB983" t="b">
            <v>0</v>
          </cell>
          <cell r="AC983" t="b">
            <v>0</v>
          </cell>
        </row>
        <row r="984">
          <cell r="Y984" t="b">
            <v>0</v>
          </cell>
          <cell r="Z984" t="b">
            <v>0</v>
          </cell>
          <cell r="AA984" t="b">
            <v>0</v>
          </cell>
          <cell r="AB984" t="b">
            <v>0</v>
          </cell>
          <cell r="AC984" t="b">
            <v>0</v>
          </cell>
        </row>
        <row r="985">
          <cell r="Y985" t="b">
            <v>0</v>
          </cell>
          <cell r="Z985" t="b">
            <v>0</v>
          </cell>
          <cell r="AA985" t="b">
            <v>0</v>
          </cell>
          <cell r="AB985" t="b">
            <v>0</v>
          </cell>
          <cell r="AC985" t="b">
            <v>0</v>
          </cell>
        </row>
        <row r="986">
          <cell r="Y986" t="b">
            <v>0</v>
          </cell>
          <cell r="Z986" t="b">
            <v>0</v>
          </cell>
          <cell r="AA986" t="b">
            <v>0</v>
          </cell>
          <cell r="AB986" t="b">
            <v>0</v>
          </cell>
          <cell r="AC986" t="b">
            <v>0</v>
          </cell>
        </row>
        <row r="987">
          <cell r="Y987" t="b">
            <v>0</v>
          </cell>
          <cell r="Z987" t="b">
            <v>0</v>
          </cell>
          <cell r="AA987" t="b">
            <v>0</v>
          </cell>
          <cell r="AB987" t="b">
            <v>0</v>
          </cell>
          <cell r="AC987" t="b">
            <v>0</v>
          </cell>
        </row>
        <row r="988">
          <cell r="Y988" t="b">
            <v>0</v>
          </cell>
          <cell r="Z988" t="b">
            <v>0</v>
          </cell>
          <cell r="AA988" t="b">
            <v>0</v>
          </cell>
          <cell r="AB988" t="b">
            <v>0</v>
          </cell>
          <cell r="AC988" t="b">
            <v>0</v>
          </cell>
        </row>
        <row r="989">
          <cell r="Y989" t="b">
            <v>0</v>
          </cell>
          <cell r="Z989" t="b">
            <v>0</v>
          </cell>
          <cell r="AA989" t="b">
            <v>0</v>
          </cell>
          <cell r="AB989" t="b">
            <v>0</v>
          </cell>
          <cell r="AC989" t="b">
            <v>0</v>
          </cell>
        </row>
        <row r="990">
          <cell r="Y990" t="b">
            <v>0</v>
          </cell>
          <cell r="Z990" t="b">
            <v>0</v>
          </cell>
          <cell r="AA990" t="b">
            <v>0</v>
          </cell>
          <cell r="AB990" t="b">
            <v>0</v>
          </cell>
          <cell r="AC990" t="b">
            <v>0</v>
          </cell>
        </row>
        <row r="991">
          <cell r="Y991" t="b">
            <v>0</v>
          </cell>
          <cell r="Z991" t="b">
            <v>0</v>
          </cell>
          <cell r="AA991" t="b">
            <v>0</v>
          </cell>
          <cell r="AB991" t="b">
            <v>0</v>
          </cell>
          <cell r="AC991" t="b">
            <v>0</v>
          </cell>
        </row>
        <row r="992">
          <cell r="Y992" t="b">
            <v>0</v>
          </cell>
          <cell r="Z992" t="b">
            <v>0</v>
          </cell>
          <cell r="AA992" t="b">
            <v>0</v>
          </cell>
          <cell r="AB992" t="b">
            <v>0</v>
          </cell>
          <cell r="AC992" t="b">
            <v>0</v>
          </cell>
        </row>
        <row r="993">
          <cell r="Y993" t="b">
            <v>0</v>
          </cell>
          <cell r="Z993" t="b">
            <v>0</v>
          </cell>
          <cell r="AA993" t="b">
            <v>0</v>
          </cell>
          <cell r="AB993" t="b">
            <v>0</v>
          </cell>
          <cell r="AC993" t="b">
            <v>0</v>
          </cell>
        </row>
        <row r="994">
          <cell r="Y994" t="b">
            <v>0</v>
          </cell>
          <cell r="Z994" t="b">
            <v>0</v>
          </cell>
          <cell r="AA994" t="b">
            <v>0</v>
          </cell>
          <cell r="AB994" t="b">
            <v>0</v>
          </cell>
          <cell r="AC994" t="b">
            <v>0</v>
          </cell>
        </row>
        <row r="995">
          <cell r="Y995" t="b">
            <v>0</v>
          </cell>
          <cell r="Z995" t="b">
            <v>0</v>
          </cell>
          <cell r="AA995" t="b">
            <v>0</v>
          </cell>
          <cell r="AB995" t="b">
            <v>0</v>
          </cell>
          <cell r="AC995" t="b">
            <v>0</v>
          </cell>
        </row>
        <row r="996">
          <cell r="Y996" t="b">
            <v>0</v>
          </cell>
          <cell r="Z996" t="b">
            <v>0</v>
          </cell>
          <cell r="AA996" t="b">
            <v>0</v>
          </cell>
          <cell r="AB996" t="b">
            <v>0</v>
          </cell>
          <cell r="AC996" t="b">
            <v>0</v>
          </cell>
        </row>
        <row r="997">
          <cell r="Y997" t="b">
            <v>0</v>
          </cell>
          <cell r="Z997" t="b">
            <v>0</v>
          </cell>
          <cell r="AA997" t="b">
            <v>0</v>
          </cell>
          <cell r="AB997" t="b">
            <v>0</v>
          </cell>
          <cell r="AC997" t="b">
            <v>0</v>
          </cell>
        </row>
        <row r="998">
          <cell r="Y998" t="b">
            <v>0</v>
          </cell>
          <cell r="Z998" t="b">
            <v>0</v>
          </cell>
          <cell r="AA998" t="b">
            <v>0</v>
          </cell>
          <cell r="AB998" t="b">
            <v>0</v>
          </cell>
          <cell r="AC998" t="b">
            <v>0</v>
          </cell>
        </row>
        <row r="999">
          <cell r="Y999" t="b">
            <v>0</v>
          </cell>
          <cell r="Z999" t="b">
            <v>0</v>
          </cell>
          <cell r="AA999" t="b">
            <v>0</v>
          </cell>
          <cell r="AB999" t="b">
            <v>0</v>
          </cell>
          <cell r="AC999" t="b">
            <v>0</v>
          </cell>
        </row>
        <row r="1000">
          <cell r="Y1000" t="b">
            <v>0</v>
          </cell>
          <cell r="Z1000" t="b">
            <v>0</v>
          </cell>
          <cell r="AA1000" t="b">
            <v>0</v>
          </cell>
          <cell r="AB1000" t="b">
            <v>0</v>
          </cell>
          <cell r="AC1000" t="b">
            <v>0</v>
          </cell>
        </row>
        <row r="1001">
          <cell r="Y1001" t="b">
            <v>0</v>
          </cell>
          <cell r="Z1001" t="b">
            <v>0</v>
          </cell>
          <cell r="AA1001" t="b">
            <v>0</v>
          </cell>
          <cell r="AB1001" t="b">
            <v>0</v>
          </cell>
          <cell r="AC1001" t="b">
            <v>0</v>
          </cell>
        </row>
        <row r="1002">
          <cell r="Y1002" t="b">
            <v>0</v>
          </cell>
          <cell r="Z1002" t="b">
            <v>0</v>
          </cell>
          <cell r="AA1002" t="b">
            <v>0</v>
          </cell>
          <cell r="AB1002" t="b">
            <v>0</v>
          </cell>
          <cell r="AC1002" t="b">
            <v>0</v>
          </cell>
        </row>
        <row r="1003">
          <cell r="Y1003" t="b">
            <v>0</v>
          </cell>
          <cell r="Z1003" t="b">
            <v>0</v>
          </cell>
          <cell r="AA1003" t="b">
            <v>0</v>
          </cell>
          <cell r="AB1003" t="b">
            <v>0</v>
          </cell>
          <cell r="AC1003" t="b">
            <v>0</v>
          </cell>
        </row>
        <row r="1004">
          <cell r="Y1004" t="b">
            <v>0</v>
          </cell>
          <cell r="Z1004" t="b">
            <v>0</v>
          </cell>
          <cell r="AA1004" t="b">
            <v>0</v>
          </cell>
          <cell r="AB1004" t="b">
            <v>0</v>
          </cell>
          <cell r="AC1004" t="b">
            <v>0</v>
          </cell>
        </row>
        <row r="1005">
          <cell r="Y1005" t="b">
            <v>0</v>
          </cell>
          <cell r="Z1005" t="b">
            <v>0</v>
          </cell>
          <cell r="AA1005" t="b">
            <v>0</v>
          </cell>
          <cell r="AB1005" t="b">
            <v>0</v>
          </cell>
          <cell r="AC1005" t="b">
            <v>0</v>
          </cell>
        </row>
        <row r="1006">
          <cell r="Y1006" t="b">
            <v>0</v>
          </cell>
          <cell r="Z1006" t="b">
            <v>0</v>
          </cell>
          <cell r="AA1006" t="b">
            <v>0</v>
          </cell>
          <cell r="AB1006" t="b">
            <v>0</v>
          </cell>
          <cell r="AC1006" t="b">
            <v>0</v>
          </cell>
        </row>
        <row r="1007">
          <cell r="Y1007" t="b">
            <v>0</v>
          </cell>
          <cell r="Z1007" t="b">
            <v>0</v>
          </cell>
          <cell r="AA1007" t="b">
            <v>0</v>
          </cell>
          <cell r="AB1007" t="b">
            <v>0</v>
          </cell>
          <cell r="AC1007" t="b">
            <v>0</v>
          </cell>
        </row>
        <row r="1008">
          <cell r="Y1008" t="b">
            <v>0</v>
          </cell>
          <cell r="Z1008" t="b">
            <v>0</v>
          </cell>
          <cell r="AA1008" t="b">
            <v>0</v>
          </cell>
          <cell r="AB1008" t="b">
            <v>0</v>
          </cell>
          <cell r="AC1008" t="b">
            <v>0</v>
          </cell>
        </row>
        <row r="1009">
          <cell r="Y1009" t="b">
            <v>0</v>
          </cell>
          <cell r="Z1009" t="b">
            <v>0</v>
          </cell>
          <cell r="AA1009" t="b">
            <v>0</v>
          </cell>
          <cell r="AB1009" t="b">
            <v>0</v>
          </cell>
          <cell r="AC1009" t="b">
            <v>0</v>
          </cell>
        </row>
        <row r="1010">
          <cell r="Y1010" t="b">
            <v>0</v>
          </cell>
          <cell r="Z1010" t="b">
            <v>0</v>
          </cell>
          <cell r="AA1010" t="b">
            <v>0</v>
          </cell>
          <cell r="AB1010" t="b">
            <v>0</v>
          </cell>
          <cell r="AC1010" t="b">
            <v>0</v>
          </cell>
        </row>
        <row r="1011">
          <cell r="Y1011" t="b">
            <v>0</v>
          </cell>
          <cell r="Z1011" t="b">
            <v>0</v>
          </cell>
          <cell r="AA1011" t="b">
            <v>0</v>
          </cell>
          <cell r="AB1011" t="b">
            <v>0</v>
          </cell>
          <cell r="AC1011" t="b">
            <v>0</v>
          </cell>
        </row>
        <row r="1012">
          <cell r="Y1012" t="b">
            <v>0</v>
          </cell>
          <cell r="Z1012" t="b">
            <v>0</v>
          </cell>
          <cell r="AA1012" t="b">
            <v>0</v>
          </cell>
          <cell r="AB1012" t="b">
            <v>0</v>
          </cell>
          <cell r="AC1012" t="b">
            <v>0</v>
          </cell>
        </row>
        <row r="1013">
          <cell r="Y1013" t="b">
            <v>0</v>
          </cell>
          <cell r="Z1013" t="b">
            <v>0</v>
          </cell>
          <cell r="AA1013" t="b">
            <v>0</v>
          </cell>
          <cell r="AB1013" t="b">
            <v>0</v>
          </cell>
          <cell r="AC1013" t="b">
            <v>0</v>
          </cell>
        </row>
        <row r="1014">
          <cell r="Y1014" t="b">
            <v>0</v>
          </cell>
          <cell r="Z1014" t="b">
            <v>0</v>
          </cell>
          <cell r="AA1014" t="b">
            <v>0</v>
          </cell>
          <cell r="AB1014" t="b">
            <v>0</v>
          </cell>
          <cell r="AC1014" t="b">
            <v>0</v>
          </cell>
        </row>
        <row r="1015">
          <cell r="Y1015" t="b">
            <v>0</v>
          </cell>
          <cell r="Z1015" t="b">
            <v>0</v>
          </cell>
          <cell r="AA1015" t="b">
            <v>0</v>
          </cell>
          <cell r="AB1015" t="b">
            <v>0</v>
          </cell>
          <cell r="AC1015" t="b">
            <v>0</v>
          </cell>
        </row>
        <row r="1016">
          <cell r="Y1016" t="b">
            <v>0</v>
          </cell>
          <cell r="Z1016" t="b">
            <v>0</v>
          </cell>
          <cell r="AA1016" t="b">
            <v>0</v>
          </cell>
          <cell r="AB1016" t="b">
            <v>0</v>
          </cell>
          <cell r="AC1016" t="b">
            <v>0</v>
          </cell>
        </row>
        <row r="1017">
          <cell r="Y1017" t="b">
            <v>0</v>
          </cell>
          <cell r="Z1017" t="b">
            <v>0</v>
          </cell>
          <cell r="AA1017" t="b">
            <v>0</v>
          </cell>
          <cell r="AB1017" t="b">
            <v>0</v>
          </cell>
          <cell r="AC1017" t="b">
            <v>0</v>
          </cell>
        </row>
        <row r="1018">
          <cell r="Y1018" t="b">
            <v>0</v>
          </cell>
          <cell r="Z1018" t="b">
            <v>0</v>
          </cell>
          <cell r="AA1018" t="b">
            <v>0</v>
          </cell>
          <cell r="AB1018" t="b">
            <v>0</v>
          </cell>
          <cell r="AC1018" t="b">
            <v>0</v>
          </cell>
        </row>
        <row r="1019">
          <cell r="Y1019" t="b">
            <v>0</v>
          </cell>
          <cell r="Z1019" t="b">
            <v>0</v>
          </cell>
          <cell r="AA1019" t="b">
            <v>0</v>
          </cell>
          <cell r="AB1019" t="b">
            <v>0</v>
          </cell>
          <cell r="AC1019" t="b">
            <v>0</v>
          </cell>
        </row>
        <row r="1020">
          <cell r="Y1020" t="b">
            <v>0</v>
          </cell>
          <cell r="Z1020" t="b">
            <v>0</v>
          </cell>
          <cell r="AA1020" t="b">
            <v>0</v>
          </cell>
          <cell r="AB1020" t="b">
            <v>0</v>
          </cell>
          <cell r="AC1020" t="b">
            <v>0</v>
          </cell>
        </row>
        <row r="1021">
          <cell r="Y1021" t="b">
            <v>0</v>
          </cell>
          <cell r="Z1021" t="b">
            <v>0</v>
          </cell>
          <cell r="AA1021" t="b">
            <v>0</v>
          </cell>
          <cell r="AB1021" t="b">
            <v>0</v>
          </cell>
          <cell r="AC1021" t="b">
            <v>0</v>
          </cell>
        </row>
        <row r="1022">
          <cell r="Y1022" t="b">
            <v>0</v>
          </cell>
          <cell r="Z1022" t="b">
            <v>0</v>
          </cell>
          <cell r="AA1022" t="b">
            <v>0</v>
          </cell>
          <cell r="AB1022" t="b">
            <v>0</v>
          </cell>
          <cell r="AC1022" t="b">
            <v>0</v>
          </cell>
        </row>
        <row r="1023">
          <cell r="Y1023" t="b">
            <v>0</v>
          </cell>
          <cell r="Z1023" t="b">
            <v>0</v>
          </cell>
          <cell r="AA1023" t="b">
            <v>0</v>
          </cell>
          <cell r="AB1023" t="b">
            <v>0</v>
          </cell>
          <cell r="AC1023" t="b">
            <v>0</v>
          </cell>
        </row>
        <row r="1024">
          <cell r="Y1024" t="b">
            <v>0</v>
          </cell>
          <cell r="Z1024" t="b">
            <v>0</v>
          </cell>
          <cell r="AA1024" t="b">
            <v>0</v>
          </cell>
          <cell r="AB1024" t="b">
            <v>0</v>
          </cell>
          <cell r="AC1024" t="b">
            <v>0</v>
          </cell>
        </row>
        <row r="1025">
          <cell r="Y1025" t="b">
            <v>0</v>
          </cell>
          <cell r="Z1025" t="b">
            <v>0</v>
          </cell>
          <cell r="AA1025" t="b">
            <v>0</v>
          </cell>
          <cell r="AB1025" t="b">
            <v>0</v>
          </cell>
          <cell r="AC1025" t="b">
            <v>0</v>
          </cell>
        </row>
        <row r="1026">
          <cell r="Y1026" t="b">
            <v>0</v>
          </cell>
          <cell r="Z1026" t="b">
            <v>0</v>
          </cell>
          <cell r="AA1026" t="b">
            <v>0</v>
          </cell>
          <cell r="AB1026" t="b">
            <v>0</v>
          </cell>
          <cell r="AC1026" t="b">
            <v>0</v>
          </cell>
        </row>
        <row r="1027">
          <cell r="Y1027" t="b">
            <v>0</v>
          </cell>
          <cell r="Z1027" t="b">
            <v>0</v>
          </cell>
          <cell r="AA1027" t="b">
            <v>0</v>
          </cell>
          <cell r="AB1027" t="b">
            <v>0</v>
          </cell>
          <cell r="AC1027" t="b">
            <v>0</v>
          </cell>
        </row>
        <row r="1028">
          <cell r="Y1028" t="b">
            <v>0</v>
          </cell>
          <cell r="Z1028" t="b">
            <v>0</v>
          </cell>
          <cell r="AA1028" t="b">
            <v>0</v>
          </cell>
          <cell r="AB1028" t="b">
            <v>0</v>
          </cell>
          <cell r="AC1028" t="b">
            <v>0</v>
          </cell>
        </row>
        <row r="1029">
          <cell r="Y1029" t="b">
            <v>0</v>
          </cell>
          <cell r="Z1029" t="b">
            <v>0</v>
          </cell>
          <cell r="AA1029" t="b">
            <v>0</v>
          </cell>
          <cell r="AB1029" t="b">
            <v>0</v>
          </cell>
          <cell r="AC1029" t="b">
            <v>0</v>
          </cell>
        </row>
        <row r="1030">
          <cell r="Y1030" t="b">
            <v>0</v>
          </cell>
          <cell r="Z1030" t="b">
            <v>0</v>
          </cell>
          <cell r="AA1030" t="b">
            <v>0</v>
          </cell>
          <cell r="AB1030" t="b">
            <v>0</v>
          </cell>
          <cell r="AC1030" t="b">
            <v>0</v>
          </cell>
        </row>
        <row r="1031">
          <cell r="Y1031" t="b">
            <v>0</v>
          </cell>
          <cell r="Z1031" t="b">
            <v>0</v>
          </cell>
          <cell r="AA1031" t="b">
            <v>0</v>
          </cell>
          <cell r="AB1031" t="b">
            <v>0</v>
          </cell>
          <cell r="AC1031" t="b">
            <v>0</v>
          </cell>
        </row>
        <row r="1032">
          <cell r="Y1032" t="b">
            <v>0</v>
          </cell>
          <cell r="Z1032" t="b">
            <v>0</v>
          </cell>
          <cell r="AA1032" t="b">
            <v>0</v>
          </cell>
          <cell r="AB1032" t="b">
            <v>0</v>
          </cell>
          <cell r="AC1032" t="b">
            <v>0</v>
          </cell>
        </row>
        <row r="1033">
          <cell r="Y1033" t="b">
            <v>0</v>
          </cell>
          <cell r="Z1033" t="b">
            <v>0</v>
          </cell>
          <cell r="AA1033" t="b">
            <v>0</v>
          </cell>
          <cell r="AB1033" t="b">
            <v>0</v>
          </cell>
          <cell r="AC1033" t="b">
            <v>0</v>
          </cell>
        </row>
        <row r="1034">
          <cell r="Y1034" t="b">
            <v>0</v>
          </cell>
          <cell r="Z1034" t="b">
            <v>0</v>
          </cell>
          <cell r="AA1034" t="b">
            <v>0</v>
          </cell>
          <cell r="AB1034" t="b">
            <v>0</v>
          </cell>
          <cell r="AC1034" t="b">
            <v>0</v>
          </cell>
        </row>
        <row r="1035">
          <cell r="Y1035" t="b">
            <v>0</v>
          </cell>
          <cell r="Z1035" t="b">
            <v>0</v>
          </cell>
          <cell r="AA1035" t="b">
            <v>0</v>
          </cell>
          <cell r="AB1035" t="b">
            <v>0</v>
          </cell>
          <cell r="AC1035" t="b">
            <v>0</v>
          </cell>
        </row>
        <row r="1036">
          <cell r="Y1036" t="b">
            <v>0</v>
          </cell>
          <cell r="Z1036" t="b">
            <v>0</v>
          </cell>
          <cell r="AA1036" t="b">
            <v>0</v>
          </cell>
          <cell r="AB1036" t="b">
            <v>0</v>
          </cell>
          <cell r="AC1036" t="b">
            <v>0</v>
          </cell>
        </row>
        <row r="1037">
          <cell r="Y1037" t="b">
            <v>0</v>
          </cell>
          <cell r="Z1037" t="b">
            <v>0</v>
          </cell>
          <cell r="AA1037" t="b">
            <v>0</v>
          </cell>
          <cell r="AB1037" t="b">
            <v>0</v>
          </cell>
          <cell r="AC1037" t="b">
            <v>0</v>
          </cell>
        </row>
        <row r="1038">
          <cell r="Y1038" t="b">
            <v>0</v>
          </cell>
          <cell r="Z1038" t="b">
            <v>0</v>
          </cell>
          <cell r="AA1038" t="b">
            <v>0</v>
          </cell>
          <cell r="AB1038" t="b">
            <v>0</v>
          </cell>
          <cell r="AC1038" t="b">
            <v>0</v>
          </cell>
        </row>
        <row r="1039">
          <cell r="Y1039" t="b">
            <v>0</v>
          </cell>
          <cell r="Z1039" t="b">
            <v>0</v>
          </cell>
          <cell r="AA1039" t="b">
            <v>0</v>
          </cell>
          <cell r="AB1039" t="b">
            <v>0</v>
          </cell>
          <cell r="AC1039" t="b">
            <v>0</v>
          </cell>
        </row>
        <row r="1040">
          <cell r="Y1040" t="b">
            <v>0</v>
          </cell>
          <cell r="Z1040" t="b">
            <v>0</v>
          </cell>
          <cell r="AA1040" t="b">
            <v>0</v>
          </cell>
          <cell r="AB1040" t="b">
            <v>0</v>
          </cell>
          <cell r="AC1040" t="b">
            <v>0</v>
          </cell>
        </row>
        <row r="1041">
          <cell r="Y1041" t="b">
            <v>0</v>
          </cell>
          <cell r="Z1041" t="b">
            <v>0</v>
          </cell>
          <cell r="AA1041" t="b">
            <v>0</v>
          </cell>
          <cell r="AB1041" t="b">
            <v>0</v>
          </cell>
          <cell r="AC1041" t="b">
            <v>0</v>
          </cell>
        </row>
        <row r="1042">
          <cell r="Y1042" t="b">
            <v>0</v>
          </cell>
          <cell r="Z1042" t="b">
            <v>0</v>
          </cell>
          <cell r="AA1042" t="b">
            <v>0</v>
          </cell>
          <cell r="AB1042" t="b">
            <v>0</v>
          </cell>
          <cell r="AC1042" t="b">
            <v>0</v>
          </cell>
        </row>
        <row r="1043">
          <cell r="Y1043" t="b">
            <v>0</v>
          </cell>
          <cell r="Z1043" t="b">
            <v>0</v>
          </cell>
          <cell r="AA1043" t="b">
            <v>0</v>
          </cell>
          <cell r="AB1043" t="b">
            <v>0</v>
          </cell>
          <cell r="AC1043" t="b">
            <v>0</v>
          </cell>
        </row>
        <row r="1044">
          <cell r="Y1044" t="b">
            <v>0</v>
          </cell>
          <cell r="Z1044" t="b">
            <v>0</v>
          </cell>
          <cell r="AA1044" t="b">
            <v>0</v>
          </cell>
          <cell r="AB1044" t="b">
            <v>0</v>
          </cell>
          <cell r="AC1044" t="b">
            <v>0</v>
          </cell>
        </row>
        <row r="1045">
          <cell r="Y1045" t="b">
            <v>0</v>
          </cell>
          <cell r="Z1045" t="b">
            <v>0</v>
          </cell>
          <cell r="AA1045" t="b">
            <v>0</v>
          </cell>
          <cell r="AB1045" t="b">
            <v>0</v>
          </cell>
          <cell r="AC1045" t="b">
            <v>0</v>
          </cell>
        </row>
        <row r="1046">
          <cell r="Y1046" t="b">
            <v>0</v>
          </cell>
          <cell r="Z1046" t="b">
            <v>0</v>
          </cell>
          <cell r="AA1046" t="b">
            <v>0</v>
          </cell>
          <cell r="AB1046" t="b">
            <v>0</v>
          </cell>
          <cell r="AC1046" t="b">
            <v>0</v>
          </cell>
        </row>
        <row r="1047">
          <cell r="Y1047" t="b">
            <v>0</v>
          </cell>
          <cell r="Z1047" t="b">
            <v>0</v>
          </cell>
          <cell r="AA1047" t="b">
            <v>0</v>
          </cell>
          <cell r="AB1047" t="b">
            <v>0</v>
          </cell>
          <cell r="AC1047" t="b">
            <v>0</v>
          </cell>
        </row>
        <row r="1048">
          <cell r="Y1048" t="b">
            <v>0</v>
          </cell>
          <cell r="Z1048" t="b">
            <v>0</v>
          </cell>
          <cell r="AA1048" t="b">
            <v>0</v>
          </cell>
          <cell r="AB1048" t="b">
            <v>0</v>
          </cell>
          <cell r="AC1048" t="b">
            <v>0</v>
          </cell>
        </row>
        <row r="1049">
          <cell r="Y1049" t="b">
            <v>0</v>
          </cell>
          <cell r="Z1049" t="b">
            <v>0</v>
          </cell>
          <cell r="AA1049" t="b">
            <v>0</v>
          </cell>
          <cell r="AB1049" t="b">
            <v>0</v>
          </cell>
          <cell r="AC1049" t="b">
            <v>0</v>
          </cell>
        </row>
        <row r="1050">
          <cell r="Y1050" t="b">
            <v>0</v>
          </cell>
          <cell r="Z1050" t="b">
            <v>0</v>
          </cell>
          <cell r="AA1050" t="b">
            <v>0</v>
          </cell>
          <cell r="AB1050" t="b">
            <v>0</v>
          </cell>
          <cell r="AC1050" t="b">
            <v>0</v>
          </cell>
        </row>
        <row r="1051">
          <cell r="Y1051" t="b">
            <v>0</v>
          </cell>
          <cell r="Z1051" t="b">
            <v>0</v>
          </cell>
          <cell r="AA1051" t="b">
            <v>0</v>
          </cell>
          <cell r="AB1051" t="b">
            <v>0</v>
          </cell>
          <cell r="AC1051" t="b">
            <v>0</v>
          </cell>
        </row>
        <row r="1052">
          <cell r="Y1052" t="b">
            <v>0</v>
          </cell>
          <cell r="Z1052" t="b">
            <v>0</v>
          </cell>
          <cell r="AA1052" t="b">
            <v>0</v>
          </cell>
          <cell r="AB1052" t="b">
            <v>0</v>
          </cell>
          <cell r="AC1052" t="b">
            <v>0</v>
          </cell>
        </row>
        <row r="1053">
          <cell r="Y1053" t="b">
            <v>0</v>
          </cell>
          <cell r="Z1053" t="b">
            <v>0</v>
          </cell>
          <cell r="AA1053" t="b">
            <v>0</v>
          </cell>
          <cell r="AB1053" t="b">
            <v>0</v>
          </cell>
          <cell r="AC1053" t="b">
            <v>0</v>
          </cell>
        </row>
        <row r="1054">
          <cell r="Y1054" t="b">
            <v>0</v>
          </cell>
          <cell r="Z1054" t="b">
            <v>0</v>
          </cell>
          <cell r="AA1054" t="b">
            <v>0</v>
          </cell>
          <cell r="AB1054" t="b">
            <v>0</v>
          </cell>
          <cell r="AC1054" t="b">
            <v>0</v>
          </cell>
        </row>
        <row r="1055">
          <cell r="Y1055" t="b">
            <v>0</v>
          </cell>
          <cell r="Z1055" t="b">
            <v>0</v>
          </cell>
          <cell r="AA1055" t="b">
            <v>0</v>
          </cell>
          <cell r="AB1055" t="b">
            <v>0</v>
          </cell>
          <cell r="AC1055" t="b">
            <v>0</v>
          </cell>
        </row>
        <row r="1056">
          <cell r="Y1056" t="b">
            <v>0</v>
          </cell>
          <cell r="Z1056" t="b">
            <v>0</v>
          </cell>
          <cell r="AA1056" t="b">
            <v>0</v>
          </cell>
          <cell r="AB1056" t="b">
            <v>0</v>
          </cell>
          <cell r="AC1056" t="b">
            <v>0</v>
          </cell>
        </row>
        <row r="1057">
          <cell r="Y1057" t="b">
            <v>0</v>
          </cell>
          <cell r="Z1057" t="b">
            <v>0</v>
          </cell>
          <cell r="AA1057" t="b">
            <v>0</v>
          </cell>
          <cell r="AB1057" t="b">
            <v>0</v>
          </cell>
          <cell r="AC1057" t="b">
            <v>0</v>
          </cell>
        </row>
        <row r="1058">
          <cell r="Y1058" t="b">
            <v>0</v>
          </cell>
          <cell r="Z1058" t="b">
            <v>0</v>
          </cell>
          <cell r="AA1058" t="b">
            <v>0</v>
          </cell>
          <cell r="AB1058" t="b">
            <v>0</v>
          </cell>
          <cell r="AC1058" t="b">
            <v>0</v>
          </cell>
        </row>
        <row r="1059">
          <cell r="Y1059" t="b">
            <v>0</v>
          </cell>
          <cell r="Z1059" t="b">
            <v>0</v>
          </cell>
          <cell r="AA1059" t="b">
            <v>0</v>
          </cell>
          <cell r="AB1059" t="b">
            <v>0</v>
          </cell>
          <cell r="AC1059" t="b">
            <v>0</v>
          </cell>
        </row>
        <row r="1060">
          <cell r="Y1060" t="b">
            <v>0</v>
          </cell>
          <cell r="Z1060" t="b">
            <v>0</v>
          </cell>
          <cell r="AA1060" t="b">
            <v>0</v>
          </cell>
          <cell r="AB1060" t="b">
            <v>0</v>
          </cell>
          <cell r="AC1060" t="b">
            <v>0</v>
          </cell>
        </row>
        <row r="1061">
          <cell r="Y1061" t="b">
            <v>0</v>
          </cell>
          <cell r="Z1061" t="b">
            <v>0</v>
          </cell>
          <cell r="AA1061" t="b">
            <v>0</v>
          </cell>
          <cell r="AB1061" t="b">
            <v>0</v>
          </cell>
          <cell r="AC1061" t="b">
            <v>0</v>
          </cell>
        </row>
        <row r="1062">
          <cell r="Y1062" t="b">
            <v>0</v>
          </cell>
          <cell r="Z1062" t="b">
            <v>0</v>
          </cell>
          <cell r="AA1062" t="b">
            <v>0</v>
          </cell>
          <cell r="AB1062" t="b">
            <v>0</v>
          </cell>
          <cell r="AC1062" t="b">
            <v>0</v>
          </cell>
        </row>
        <row r="1063">
          <cell r="Y1063" t="b">
            <v>0</v>
          </cell>
          <cell r="Z1063" t="b">
            <v>0</v>
          </cell>
          <cell r="AA1063" t="b">
            <v>0</v>
          </cell>
          <cell r="AB1063" t="b">
            <v>0</v>
          </cell>
          <cell r="AC1063" t="b">
            <v>0</v>
          </cell>
        </row>
        <row r="1064">
          <cell r="Y1064" t="b">
            <v>0</v>
          </cell>
          <cell r="Z1064" t="b">
            <v>0</v>
          </cell>
          <cell r="AA1064" t="b">
            <v>0</v>
          </cell>
          <cell r="AB1064" t="b">
            <v>0</v>
          </cell>
          <cell r="AC1064" t="b">
            <v>0</v>
          </cell>
        </row>
        <row r="1065">
          <cell r="Y1065" t="b">
            <v>0</v>
          </cell>
          <cell r="Z1065" t="b">
            <v>0</v>
          </cell>
          <cell r="AA1065" t="b">
            <v>0</v>
          </cell>
          <cell r="AB1065" t="b">
            <v>0</v>
          </cell>
          <cell r="AC1065" t="b">
            <v>0</v>
          </cell>
        </row>
        <row r="1066">
          <cell r="Y1066" t="b">
            <v>0</v>
          </cell>
          <cell r="Z1066" t="b">
            <v>0</v>
          </cell>
          <cell r="AA1066" t="b">
            <v>0</v>
          </cell>
          <cell r="AB1066" t="b">
            <v>0</v>
          </cell>
          <cell r="AC1066" t="b">
            <v>0</v>
          </cell>
        </row>
        <row r="1067">
          <cell r="Y1067" t="b">
            <v>0</v>
          </cell>
          <cell r="Z1067" t="b">
            <v>0</v>
          </cell>
          <cell r="AA1067" t="b">
            <v>0</v>
          </cell>
          <cell r="AB1067" t="b">
            <v>0</v>
          </cell>
          <cell r="AC1067" t="b">
            <v>0</v>
          </cell>
        </row>
        <row r="1068">
          <cell r="Y1068" t="b">
            <v>0</v>
          </cell>
          <cell r="Z1068" t="b">
            <v>0</v>
          </cell>
          <cell r="AA1068" t="b">
            <v>0</v>
          </cell>
          <cell r="AB1068" t="b">
            <v>0</v>
          </cell>
          <cell r="AC1068" t="b">
            <v>0</v>
          </cell>
        </row>
        <row r="1069">
          <cell r="Y1069" t="b">
            <v>0</v>
          </cell>
          <cell r="Z1069" t="b">
            <v>0</v>
          </cell>
          <cell r="AA1069" t="b">
            <v>0</v>
          </cell>
          <cell r="AB1069" t="b">
            <v>0</v>
          </cell>
          <cell r="AC1069" t="b">
            <v>0</v>
          </cell>
        </row>
        <row r="1070">
          <cell r="Y1070" t="b">
            <v>0</v>
          </cell>
          <cell r="Z1070" t="b">
            <v>0</v>
          </cell>
          <cell r="AA1070" t="b">
            <v>0</v>
          </cell>
          <cell r="AB1070" t="b">
            <v>0</v>
          </cell>
          <cell r="AC1070" t="b">
            <v>0</v>
          </cell>
        </row>
        <row r="1071">
          <cell r="Y1071" t="b">
            <v>0</v>
          </cell>
          <cell r="Z1071" t="b">
            <v>0</v>
          </cell>
          <cell r="AA1071" t="b">
            <v>0</v>
          </cell>
          <cell r="AB1071" t="b">
            <v>0</v>
          </cell>
          <cell r="AC1071" t="b">
            <v>0</v>
          </cell>
        </row>
        <row r="1072">
          <cell r="Y1072" t="b">
            <v>0</v>
          </cell>
          <cell r="Z1072" t="b">
            <v>0</v>
          </cell>
          <cell r="AA1072" t="b">
            <v>0</v>
          </cell>
          <cell r="AB1072" t="b">
            <v>0</v>
          </cell>
          <cell r="AC1072" t="b">
            <v>0</v>
          </cell>
        </row>
        <row r="1073">
          <cell r="Y1073" t="b">
            <v>0</v>
          </cell>
          <cell r="Z1073" t="b">
            <v>0</v>
          </cell>
          <cell r="AA1073" t="b">
            <v>0</v>
          </cell>
          <cell r="AB1073" t="b">
            <v>0</v>
          </cell>
          <cell r="AC1073" t="b">
            <v>0</v>
          </cell>
        </row>
        <row r="1074">
          <cell r="Y1074" t="b">
            <v>0</v>
          </cell>
          <cell r="Z1074" t="b">
            <v>0</v>
          </cell>
          <cell r="AA1074" t="b">
            <v>0</v>
          </cell>
          <cell r="AB1074" t="b">
            <v>0</v>
          </cell>
          <cell r="AC1074" t="b">
            <v>0</v>
          </cell>
        </row>
        <row r="1075">
          <cell r="Y1075" t="b">
            <v>0</v>
          </cell>
          <cell r="Z1075" t="b">
            <v>0</v>
          </cell>
          <cell r="AA1075" t="b">
            <v>0</v>
          </cell>
          <cell r="AB1075" t="b">
            <v>0</v>
          </cell>
          <cell r="AC1075" t="b">
            <v>0</v>
          </cell>
        </row>
        <row r="1076">
          <cell r="Y1076" t="b">
            <v>0</v>
          </cell>
          <cell r="Z1076" t="b">
            <v>0</v>
          </cell>
          <cell r="AA1076" t="b">
            <v>0</v>
          </cell>
          <cell r="AB1076" t="b">
            <v>0</v>
          </cell>
          <cell r="AC1076" t="b">
            <v>0</v>
          </cell>
        </row>
        <row r="1077">
          <cell r="Y1077" t="b">
            <v>0</v>
          </cell>
          <cell r="Z1077" t="b">
            <v>0</v>
          </cell>
          <cell r="AA1077" t="b">
            <v>0</v>
          </cell>
          <cell r="AB1077" t="b">
            <v>0</v>
          </cell>
          <cell r="AC1077" t="b">
            <v>0</v>
          </cell>
        </row>
        <row r="1078">
          <cell r="Y1078" t="b">
            <v>0</v>
          </cell>
          <cell r="Z1078" t="b">
            <v>0</v>
          </cell>
          <cell r="AA1078" t="b">
            <v>0</v>
          </cell>
          <cell r="AB1078" t="b">
            <v>0</v>
          </cell>
          <cell r="AC1078" t="b">
            <v>0</v>
          </cell>
        </row>
        <row r="1079">
          <cell r="Y1079" t="b">
            <v>0</v>
          </cell>
          <cell r="Z1079" t="b">
            <v>0</v>
          </cell>
          <cell r="AA1079" t="b">
            <v>0</v>
          </cell>
          <cell r="AB1079" t="b">
            <v>0</v>
          </cell>
          <cell r="AC1079" t="b">
            <v>0</v>
          </cell>
        </row>
        <row r="1080">
          <cell r="Y1080" t="b">
            <v>0</v>
          </cell>
          <cell r="Z1080" t="b">
            <v>0</v>
          </cell>
          <cell r="AA1080" t="b">
            <v>0</v>
          </cell>
          <cell r="AB1080" t="b">
            <v>0</v>
          </cell>
          <cell r="AC1080" t="b">
            <v>0</v>
          </cell>
        </row>
        <row r="1081">
          <cell r="Y1081" t="b">
            <v>0</v>
          </cell>
          <cell r="Z1081" t="b">
            <v>0</v>
          </cell>
          <cell r="AA1081" t="b">
            <v>0</v>
          </cell>
          <cell r="AB1081" t="b">
            <v>0</v>
          </cell>
          <cell r="AC1081" t="b">
            <v>0</v>
          </cell>
        </row>
        <row r="1082">
          <cell r="Y1082" t="b">
            <v>0</v>
          </cell>
          <cell r="Z1082" t="b">
            <v>0</v>
          </cell>
          <cell r="AA1082" t="b">
            <v>0</v>
          </cell>
          <cell r="AB1082" t="b">
            <v>0</v>
          </cell>
          <cell r="AC1082" t="b">
            <v>0</v>
          </cell>
        </row>
        <row r="1083">
          <cell r="Y1083" t="b">
            <v>0</v>
          </cell>
          <cell r="Z1083" t="b">
            <v>0</v>
          </cell>
          <cell r="AA1083" t="b">
            <v>0</v>
          </cell>
          <cell r="AB1083" t="b">
            <v>0</v>
          </cell>
          <cell r="AC1083" t="b">
            <v>0</v>
          </cell>
        </row>
        <row r="1084">
          <cell r="Y1084" t="b">
            <v>0</v>
          </cell>
          <cell r="Z1084" t="b">
            <v>0</v>
          </cell>
          <cell r="AA1084" t="b">
            <v>0</v>
          </cell>
          <cell r="AB1084" t="b">
            <v>0</v>
          </cell>
          <cell r="AC1084" t="b">
            <v>0</v>
          </cell>
        </row>
        <row r="1085">
          <cell r="Y1085" t="b">
            <v>0</v>
          </cell>
          <cell r="Z1085" t="b">
            <v>0</v>
          </cell>
          <cell r="AA1085" t="b">
            <v>0</v>
          </cell>
          <cell r="AB1085" t="b">
            <v>0</v>
          </cell>
          <cell r="AC1085" t="b">
            <v>0</v>
          </cell>
        </row>
        <row r="1086">
          <cell r="Y1086" t="b">
            <v>0</v>
          </cell>
          <cell r="Z1086" t="b">
            <v>0</v>
          </cell>
          <cell r="AA1086" t="b">
            <v>0</v>
          </cell>
          <cell r="AB1086" t="b">
            <v>0</v>
          </cell>
          <cell r="AC1086" t="b">
            <v>0</v>
          </cell>
        </row>
        <row r="1087">
          <cell r="Y1087" t="b">
            <v>0</v>
          </cell>
          <cell r="Z1087" t="b">
            <v>0</v>
          </cell>
          <cell r="AA1087" t="b">
            <v>0</v>
          </cell>
          <cell r="AB1087" t="b">
            <v>0</v>
          </cell>
          <cell r="AC1087" t="b">
            <v>0</v>
          </cell>
        </row>
        <row r="1088">
          <cell r="Y1088" t="b">
            <v>0</v>
          </cell>
          <cell r="Z1088" t="b">
            <v>0</v>
          </cell>
          <cell r="AA1088" t="b">
            <v>0</v>
          </cell>
          <cell r="AB1088" t="b">
            <v>0</v>
          </cell>
          <cell r="AC1088" t="b">
            <v>0</v>
          </cell>
        </row>
        <row r="1089">
          <cell r="Y1089" t="b">
            <v>0</v>
          </cell>
          <cell r="Z1089" t="b">
            <v>0</v>
          </cell>
          <cell r="AA1089" t="b">
            <v>0</v>
          </cell>
          <cell r="AB1089" t="b">
            <v>0</v>
          </cell>
          <cell r="AC1089" t="b">
            <v>0</v>
          </cell>
        </row>
        <row r="1090">
          <cell r="Y1090" t="b">
            <v>0</v>
          </cell>
          <cell r="Z1090" t="b">
            <v>0</v>
          </cell>
          <cell r="AA1090" t="b">
            <v>0</v>
          </cell>
          <cell r="AB1090" t="b">
            <v>0</v>
          </cell>
          <cell r="AC1090" t="b">
            <v>0</v>
          </cell>
        </row>
        <row r="1091">
          <cell r="Y1091" t="b">
            <v>0</v>
          </cell>
          <cell r="Z1091" t="b">
            <v>0</v>
          </cell>
          <cell r="AA1091" t="b">
            <v>0</v>
          </cell>
          <cell r="AB1091" t="b">
            <v>0</v>
          </cell>
          <cell r="AC1091" t="b">
            <v>0</v>
          </cell>
        </row>
        <row r="1092">
          <cell r="Y1092" t="b">
            <v>0</v>
          </cell>
          <cell r="Z1092" t="b">
            <v>0</v>
          </cell>
          <cell r="AA1092" t="b">
            <v>0</v>
          </cell>
          <cell r="AB1092" t="b">
            <v>0</v>
          </cell>
          <cell r="AC1092" t="b">
            <v>0</v>
          </cell>
        </row>
        <row r="1093">
          <cell r="Y1093" t="b">
            <v>0</v>
          </cell>
          <cell r="Z1093" t="b">
            <v>0</v>
          </cell>
          <cell r="AA1093" t="b">
            <v>0</v>
          </cell>
          <cell r="AB1093" t="b">
            <v>0</v>
          </cell>
          <cell r="AC1093" t="b">
            <v>0</v>
          </cell>
        </row>
        <row r="1094">
          <cell r="Y1094" t="b">
            <v>0</v>
          </cell>
          <cell r="Z1094" t="b">
            <v>0</v>
          </cell>
          <cell r="AA1094" t="b">
            <v>0</v>
          </cell>
          <cell r="AB1094" t="b">
            <v>0</v>
          </cell>
          <cell r="AC1094" t="b">
            <v>0</v>
          </cell>
        </row>
        <row r="1095">
          <cell r="Y1095" t="b">
            <v>0</v>
          </cell>
          <cell r="Z1095" t="b">
            <v>0</v>
          </cell>
          <cell r="AA1095" t="b">
            <v>0</v>
          </cell>
          <cell r="AB1095" t="b">
            <v>0</v>
          </cell>
          <cell r="AC1095" t="b">
            <v>0</v>
          </cell>
        </row>
        <row r="1096">
          <cell r="Y1096" t="b">
            <v>0</v>
          </cell>
          <cell r="Z1096" t="b">
            <v>0</v>
          </cell>
          <cell r="AA1096" t="b">
            <v>0</v>
          </cell>
          <cell r="AB1096" t="b">
            <v>0</v>
          </cell>
          <cell r="AC1096" t="b">
            <v>0</v>
          </cell>
        </row>
        <row r="1097">
          <cell r="Y1097" t="b">
            <v>0</v>
          </cell>
          <cell r="Z1097" t="b">
            <v>0</v>
          </cell>
          <cell r="AA1097" t="b">
            <v>0</v>
          </cell>
          <cell r="AB1097" t="b">
            <v>0</v>
          </cell>
          <cell r="AC1097" t="b">
            <v>0</v>
          </cell>
        </row>
        <row r="1098">
          <cell r="Y1098" t="b">
            <v>0</v>
          </cell>
          <cell r="Z1098" t="b">
            <v>0</v>
          </cell>
          <cell r="AA1098" t="b">
            <v>0</v>
          </cell>
          <cell r="AB1098" t="b">
            <v>0</v>
          </cell>
          <cell r="AC1098" t="b">
            <v>0</v>
          </cell>
        </row>
        <row r="1099">
          <cell r="Y1099" t="b">
            <v>0</v>
          </cell>
          <cell r="Z1099" t="b">
            <v>0</v>
          </cell>
          <cell r="AA1099" t="b">
            <v>0</v>
          </cell>
          <cell r="AB1099" t="b">
            <v>0</v>
          </cell>
          <cell r="AC1099" t="b">
            <v>0</v>
          </cell>
        </row>
        <row r="1100">
          <cell r="Y1100" t="b">
            <v>0</v>
          </cell>
          <cell r="Z1100" t="b">
            <v>0</v>
          </cell>
          <cell r="AA1100" t="b">
            <v>0</v>
          </cell>
          <cell r="AB1100" t="b">
            <v>0</v>
          </cell>
          <cell r="AC1100" t="b">
            <v>0</v>
          </cell>
        </row>
        <row r="1101">
          <cell r="Y1101" t="b">
            <v>0</v>
          </cell>
          <cell r="Z1101" t="b">
            <v>0</v>
          </cell>
          <cell r="AA1101" t="b">
            <v>0</v>
          </cell>
          <cell r="AB1101" t="b">
            <v>0</v>
          </cell>
          <cell r="AC1101" t="b">
            <v>0</v>
          </cell>
        </row>
        <row r="1102">
          <cell r="Y1102" t="b">
            <v>0</v>
          </cell>
          <cell r="Z1102" t="b">
            <v>0</v>
          </cell>
          <cell r="AA1102" t="b">
            <v>0</v>
          </cell>
          <cell r="AB1102" t="b">
            <v>0</v>
          </cell>
          <cell r="AC1102" t="b">
            <v>0</v>
          </cell>
        </row>
        <row r="1103">
          <cell r="Y1103" t="b">
            <v>0</v>
          </cell>
          <cell r="Z1103" t="b">
            <v>0</v>
          </cell>
          <cell r="AA1103" t="b">
            <v>0</v>
          </cell>
          <cell r="AB1103" t="b">
            <v>0</v>
          </cell>
          <cell r="AC1103" t="b">
            <v>0</v>
          </cell>
        </row>
        <row r="1104">
          <cell r="Y1104" t="b">
            <v>0</v>
          </cell>
          <cell r="Z1104" t="b">
            <v>0</v>
          </cell>
          <cell r="AA1104" t="b">
            <v>0</v>
          </cell>
          <cell r="AB1104" t="b">
            <v>0</v>
          </cell>
          <cell r="AC1104" t="b">
            <v>0</v>
          </cell>
        </row>
        <row r="1105">
          <cell r="Y1105" t="b">
            <v>0</v>
          </cell>
          <cell r="Z1105" t="b">
            <v>0</v>
          </cell>
          <cell r="AA1105" t="b">
            <v>0</v>
          </cell>
          <cell r="AB1105" t="b">
            <v>0</v>
          </cell>
          <cell r="AC1105" t="b">
            <v>0</v>
          </cell>
        </row>
        <row r="1106">
          <cell r="Y1106" t="b">
            <v>0</v>
          </cell>
          <cell r="Z1106" t="b">
            <v>0</v>
          </cell>
          <cell r="AA1106" t="b">
            <v>0</v>
          </cell>
          <cell r="AB1106" t="b">
            <v>0</v>
          </cell>
          <cell r="AC1106" t="b">
            <v>0</v>
          </cell>
        </row>
        <row r="1107">
          <cell r="Y1107" t="b">
            <v>0</v>
          </cell>
          <cell r="Z1107" t="b">
            <v>0</v>
          </cell>
          <cell r="AA1107" t="b">
            <v>0</v>
          </cell>
          <cell r="AB1107" t="b">
            <v>0</v>
          </cell>
          <cell r="AC1107" t="b">
            <v>0</v>
          </cell>
        </row>
        <row r="1108">
          <cell r="Y1108" t="b">
            <v>0</v>
          </cell>
          <cell r="Z1108" t="b">
            <v>0</v>
          </cell>
          <cell r="AA1108" t="b">
            <v>0</v>
          </cell>
          <cell r="AB1108" t="b">
            <v>0</v>
          </cell>
          <cell r="AC1108" t="b">
            <v>0</v>
          </cell>
        </row>
        <row r="1109">
          <cell r="Y1109" t="b">
            <v>0</v>
          </cell>
          <cell r="Z1109" t="b">
            <v>0</v>
          </cell>
          <cell r="AA1109" t="b">
            <v>0</v>
          </cell>
          <cell r="AB1109" t="b">
            <v>0</v>
          </cell>
          <cell r="AC1109" t="b">
            <v>0</v>
          </cell>
        </row>
        <row r="1110">
          <cell r="Y1110" t="b">
            <v>0</v>
          </cell>
          <cell r="Z1110" t="b">
            <v>0</v>
          </cell>
          <cell r="AA1110" t="b">
            <v>0</v>
          </cell>
          <cell r="AB1110" t="b">
            <v>0</v>
          </cell>
          <cell r="AC1110" t="b">
            <v>0</v>
          </cell>
        </row>
        <row r="1111">
          <cell r="Y1111" t="b">
            <v>0</v>
          </cell>
          <cell r="Z1111" t="b">
            <v>0</v>
          </cell>
          <cell r="AA1111" t="b">
            <v>0</v>
          </cell>
          <cell r="AB1111" t="b">
            <v>0</v>
          </cell>
          <cell r="AC1111" t="b">
            <v>0</v>
          </cell>
        </row>
        <row r="1112">
          <cell r="Y1112" t="b">
            <v>0</v>
          </cell>
          <cell r="Z1112" t="b">
            <v>0</v>
          </cell>
          <cell r="AA1112" t="b">
            <v>0</v>
          </cell>
          <cell r="AB1112" t="b">
            <v>0</v>
          </cell>
          <cell r="AC1112" t="b">
            <v>0</v>
          </cell>
        </row>
        <row r="1113">
          <cell r="Y1113" t="b">
            <v>0</v>
          </cell>
          <cell r="Z1113" t="b">
            <v>0</v>
          </cell>
          <cell r="AA1113" t="b">
            <v>0</v>
          </cell>
          <cell r="AB1113" t="b">
            <v>0</v>
          </cell>
          <cell r="AC1113" t="b">
            <v>0</v>
          </cell>
        </row>
        <row r="1114">
          <cell r="Y1114" t="b">
            <v>0</v>
          </cell>
          <cell r="Z1114" t="b">
            <v>0</v>
          </cell>
          <cell r="AA1114" t="b">
            <v>0</v>
          </cell>
          <cell r="AB1114" t="b">
            <v>0</v>
          </cell>
          <cell r="AC1114" t="b">
            <v>0</v>
          </cell>
        </row>
        <row r="1115">
          <cell r="Y1115" t="b">
            <v>0</v>
          </cell>
          <cell r="Z1115" t="b">
            <v>0</v>
          </cell>
          <cell r="AA1115" t="b">
            <v>0</v>
          </cell>
          <cell r="AB1115" t="b">
            <v>0</v>
          </cell>
          <cell r="AC1115" t="b">
            <v>0</v>
          </cell>
        </row>
        <row r="1116">
          <cell r="Y1116" t="b">
            <v>0</v>
          </cell>
          <cell r="Z1116" t="b">
            <v>0</v>
          </cell>
          <cell r="AA1116" t="b">
            <v>0</v>
          </cell>
          <cell r="AB1116" t="b">
            <v>0</v>
          </cell>
          <cell r="AC1116" t="b">
            <v>0</v>
          </cell>
        </row>
        <row r="1117">
          <cell r="Y1117" t="b">
            <v>0</v>
          </cell>
          <cell r="Z1117" t="b">
            <v>0</v>
          </cell>
          <cell r="AA1117" t="b">
            <v>0</v>
          </cell>
          <cell r="AB1117" t="b">
            <v>0</v>
          </cell>
          <cell r="AC1117" t="b">
            <v>0</v>
          </cell>
        </row>
        <row r="1118">
          <cell r="Y1118" t="b">
            <v>0</v>
          </cell>
          <cell r="Z1118" t="b">
            <v>0</v>
          </cell>
          <cell r="AA1118" t="b">
            <v>0</v>
          </cell>
          <cell r="AB1118" t="b">
            <v>0</v>
          </cell>
          <cell r="AC1118" t="b">
            <v>0</v>
          </cell>
        </row>
        <row r="1119">
          <cell r="Y1119" t="b">
            <v>0</v>
          </cell>
          <cell r="Z1119" t="b">
            <v>0</v>
          </cell>
          <cell r="AA1119" t="b">
            <v>0</v>
          </cell>
          <cell r="AB1119" t="b">
            <v>0</v>
          </cell>
          <cell r="AC1119" t="b">
            <v>0</v>
          </cell>
        </row>
        <row r="1120">
          <cell r="Y1120" t="b">
            <v>0</v>
          </cell>
          <cell r="Z1120" t="b">
            <v>0</v>
          </cell>
          <cell r="AA1120" t="b">
            <v>0</v>
          </cell>
          <cell r="AB1120" t="b">
            <v>0</v>
          </cell>
          <cell r="AC1120" t="b">
            <v>0</v>
          </cell>
        </row>
        <row r="1121">
          <cell r="Y1121" t="b">
            <v>0</v>
          </cell>
          <cell r="Z1121" t="b">
            <v>0</v>
          </cell>
          <cell r="AA1121" t="b">
            <v>0</v>
          </cell>
          <cell r="AB1121" t="b">
            <v>0</v>
          </cell>
          <cell r="AC1121" t="b">
            <v>0</v>
          </cell>
        </row>
        <row r="1122">
          <cell r="Y1122" t="b">
            <v>0</v>
          </cell>
          <cell r="Z1122" t="b">
            <v>0</v>
          </cell>
          <cell r="AA1122" t="b">
            <v>0</v>
          </cell>
          <cell r="AB1122" t="b">
            <v>0</v>
          </cell>
          <cell r="AC1122" t="b">
            <v>0</v>
          </cell>
        </row>
        <row r="1123">
          <cell r="Y1123" t="b">
            <v>0</v>
          </cell>
          <cell r="Z1123" t="b">
            <v>0</v>
          </cell>
          <cell r="AA1123" t="b">
            <v>0</v>
          </cell>
          <cell r="AB1123" t="b">
            <v>0</v>
          </cell>
          <cell r="AC1123" t="b">
            <v>0</v>
          </cell>
        </row>
        <row r="1124">
          <cell r="Y1124" t="b">
            <v>0</v>
          </cell>
          <cell r="Z1124" t="b">
            <v>0</v>
          </cell>
          <cell r="AA1124" t="b">
            <v>0</v>
          </cell>
          <cell r="AB1124" t="b">
            <v>0</v>
          </cell>
          <cell r="AC1124" t="b">
            <v>0</v>
          </cell>
        </row>
        <row r="1125">
          <cell r="Y1125" t="b">
            <v>0</v>
          </cell>
          <cell r="Z1125" t="b">
            <v>0</v>
          </cell>
          <cell r="AA1125" t="b">
            <v>0</v>
          </cell>
          <cell r="AB1125" t="b">
            <v>0</v>
          </cell>
          <cell r="AC1125" t="b">
            <v>0</v>
          </cell>
        </row>
        <row r="1126">
          <cell r="Y1126" t="b">
            <v>0</v>
          </cell>
          <cell r="Z1126" t="b">
            <v>0</v>
          </cell>
          <cell r="AA1126" t="b">
            <v>0</v>
          </cell>
          <cell r="AB1126" t="b">
            <v>0</v>
          </cell>
          <cell r="AC1126" t="b">
            <v>0</v>
          </cell>
        </row>
        <row r="1127">
          <cell r="Y1127" t="b">
            <v>0</v>
          </cell>
          <cell r="Z1127" t="b">
            <v>0</v>
          </cell>
          <cell r="AA1127" t="b">
            <v>0</v>
          </cell>
          <cell r="AB1127" t="b">
            <v>0</v>
          </cell>
          <cell r="AC1127" t="b">
            <v>0</v>
          </cell>
        </row>
        <row r="1128">
          <cell r="Y1128" t="b">
            <v>0</v>
          </cell>
          <cell r="Z1128" t="b">
            <v>0</v>
          </cell>
          <cell r="AA1128" t="b">
            <v>0</v>
          </cell>
          <cell r="AB1128" t="b">
            <v>0</v>
          </cell>
          <cell r="AC1128" t="b">
            <v>0</v>
          </cell>
        </row>
        <row r="1129">
          <cell r="Y1129" t="b">
            <v>0</v>
          </cell>
          <cell r="Z1129" t="b">
            <v>0</v>
          </cell>
          <cell r="AA1129" t="b">
            <v>0</v>
          </cell>
          <cell r="AB1129" t="b">
            <v>0</v>
          </cell>
          <cell r="AC1129" t="b">
            <v>0</v>
          </cell>
        </row>
        <row r="1130">
          <cell r="Y1130" t="b">
            <v>0</v>
          </cell>
          <cell r="Z1130" t="b">
            <v>0</v>
          </cell>
          <cell r="AA1130" t="b">
            <v>0</v>
          </cell>
          <cell r="AB1130" t="b">
            <v>0</v>
          </cell>
          <cell r="AC1130" t="b">
            <v>0</v>
          </cell>
        </row>
        <row r="1131">
          <cell r="Y1131" t="b">
            <v>0</v>
          </cell>
          <cell r="Z1131" t="b">
            <v>0</v>
          </cell>
          <cell r="AA1131" t="b">
            <v>0</v>
          </cell>
          <cell r="AB1131" t="b">
            <v>0</v>
          </cell>
          <cell r="AC1131" t="b">
            <v>0</v>
          </cell>
        </row>
        <row r="1132">
          <cell r="Y1132" t="b">
            <v>0</v>
          </cell>
          <cell r="Z1132" t="b">
            <v>0</v>
          </cell>
          <cell r="AA1132" t="b">
            <v>0</v>
          </cell>
          <cell r="AB1132" t="b">
            <v>0</v>
          </cell>
          <cell r="AC1132" t="b">
            <v>0</v>
          </cell>
        </row>
        <row r="1133">
          <cell r="Y1133" t="b">
            <v>0</v>
          </cell>
          <cell r="Z1133" t="b">
            <v>0</v>
          </cell>
          <cell r="AA1133" t="b">
            <v>0</v>
          </cell>
          <cell r="AB1133" t="b">
            <v>0</v>
          </cell>
          <cell r="AC1133" t="b">
            <v>0</v>
          </cell>
        </row>
        <row r="1134">
          <cell r="Y1134" t="b">
            <v>0</v>
          </cell>
          <cell r="Z1134" t="b">
            <v>0</v>
          </cell>
          <cell r="AA1134" t="b">
            <v>0</v>
          </cell>
          <cell r="AB1134" t="b">
            <v>0</v>
          </cell>
          <cell r="AC1134" t="b">
            <v>0</v>
          </cell>
        </row>
        <row r="1135">
          <cell r="Y1135" t="b">
            <v>0</v>
          </cell>
          <cell r="Z1135" t="b">
            <v>0</v>
          </cell>
          <cell r="AA1135" t="b">
            <v>0</v>
          </cell>
          <cell r="AB1135" t="b">
            <v>0</v>
          </cell>
          <cell r="AC1135" t="b">
            <v>0</v>
          </cell>
        </row>
        <row r="1136">
          <cell r="Y1136" t="b">
            <v>0</v>
          </cell>
          <cell r="Z1136" t="b">
            <v>0</v>
          </cell>
          <cell r="AA1136" t="b">
            <v>0</v>
          </cell>
          <cell r="AB1136" t="b">
            <v>0</v>
          </cell>
          <cell r="AC1136" t="b">
            <v>0</v>
          </cell>
        </row>
        <row r="1137">
          <cell r="Y1137" t="b">
            <v>0</v>
          </cell>
          <cell r="Z1137" t="b">
            <v>0</v>
          </cell>
          <cell r="AA1137" t="b">
            <v>0</v>
          </cell>
          <cell r="AB1137" t="b">
            <v>0</v>
          </cell>
          <cell r="AC1137" t="b">
            <v>0</v>
          </cell>
        </row>
        <row r="1138">
          <cell r="Y1138" t="b">
            <v>0</v>
          </cell>
          <cell r="Z1138" t="b">
            <v>0</v>
          </cell>
          <cell r="AA1138" t="b">
            <v>0</v>
          </cell>
          <cell r="AB1138" t="b">
            <v>0</v>
          </cell>
          <cell r="AC1138" t="b">
            <v>0</v>
          </cell>
        </row>
        <row r="1139">
          <cell r="Y1139" t="b">
            <v>0</v>
          </cell>
          <cell r="Z1139" t="b">
            <v>0</v>
          </cell>
          <cell r="AA1139" t="b">
            <v>0</v>
          </cell>
          <cell r="AB1139" t="b">
            <v>0</v>
          </cell>
          <cell r="AC1139" t="b">
            <v>0</v>
          </cell>
        </row>
        <row r="1140">
          <cell r="Y1140" t="b">
            <v>0</v>
          </cell>
          <cell r="Z1140" t="b">
            <v>0</v>
          </cell>
          <cell r="AA1140" t="b">
            <v>0</v>
          </cell>
          <cell r="AB1140" t="b">
            <v>0</v>
          </cell>
          <cell r="AC1140" t="b">
            <v>0</v>
          </cell>
        </row>
        <row r="1141">
          <cell r="Y1141" t="b">
            <v>0</v>
          </cell>
          <cell r="Z1141" t="b">
            <v>0</v>
          </cell>
          <cell r="AA1141" t="b">
            <v>0</v>
          </cell>
          <cell r="AB1141" t="b">
            <v>0</v>
          </cell>
          <cell r="AC1141" t="b">
            <v>0</v>
          </cell>
        </row>
        <row r="1142">
          <cell r="Y1142" t="b">
            <v>0</v>
          </cell>
          <cell r="Z1142" t="b">
            <v>0</v>
          </cell>
          <cell r="AA1142" t="b">
            <v>0</v>
          </cell>
          <cell r="AB1142" t="b">
            <v>0</v>
          </cell>
          <cell r="AC1142" t="b">
            <v>0</v>
          </cell>
        </row>
        <row r="1143">
          <cell r="Y1143" t="b">
            <v>0</v>
          </cell>
          <cell r="Z1143" t="b">
            <v>0</v>
          </cell>
          <cell r="AA1143" t="b">
            <v>0</v>
          </cell>
          <cell r="AB1143" t="b">
            <v>0</v>
          </cell>
          <cell r="AC1143" t="b">
            <v>0</v>
          </cell>
        </row>
        <row r="1144">
          <cell r="Y1144" t="b">
            <v>0</v>
          </cell>
          <cell r="Z1144" t="b">
            <v>0</v>
          </cell>
          <cell r="AA1144" t="b">
            <v>0</v>
          </cell>
          <cell r="AB1144" t="b">
            <v>0</v>
          </cell>
          <cell r="AC1144" t="b">
            <v>0</v>
          </cell>
        </row>
        <row r="1145">
          <cell r="Y1145" t="b">
            <v>0</v>
          </cell>
          <cell r="Z1145" t="b">
            <v>0</v>
          </cell>
          <cell r="AA1145" t="b">
            <v>0</v>
          </cell>
          <cell r="AB1145" t="b">
            <v>0</v>
          </cell>
          <cell r="AC1145" t="b">
            <v>0</v>
          </cell>
        </row>
        <row r="1146">
          <cell r="Y1146" t="b">
            <v>0</v>
          </cell>
          <cell r="Z1146" t="b">
            <v>0</v>
          </cell>
          <cell r="AA1146" t="b">
            <v>0</v>
          </cell>
          <cell r="AB1146" t="b">
            <v>0</v>
          </cell>
          <cell r="AC1146" t="b">
            <v>0</v>
          </cell>
        </row>
        <row r="1147">
          <cell r="Y1147" t="b">
            <v>0</v>
          </cell>
          <cell r="Z1147" t="b">
            <v>0</v>
          </cell>
          <cell r="AA1147" t="b">
            <v>0</v>
          </cell>
          <cell r="AB1147" t="b">
            <v>0</v>
          </cell>
          <cell r="AC1147" t="b">
            <v>0</v>
          </cell>
        </row>
        <row r="1148">
          <cell r="Y1148" t="b">
            <v>0</v>
          </cell>
          <cell r="Z1148" t="b">
            <v>0</v>
          </cell>
          <cell r="AA1148" t="b">
            <v>0</v>
          </cell>
          <cell r="AB1148" t="b">
            <v>0</v>
          </cell>
          <cell r="AC1148" t="b">
            <v>0</v>
          </cell>
        </row>
        <row r="1149">
          <cell r="Y1149" t="b">
            <v>0</v>
          </cell>
          <cell r="Z1149" t="b">
            <v>0</v>
          </cell>
          <cell r="AA1149" t="b">
            <v>0</v>
          </cell>
          <cell r="AB1149" t="b">
            <v>0</v>
          </cell>
          <cell r="AC1149" t="b">
            <v>0</v>
          </cell>
        </row>
        <row r="1150">
          <cell r="Y1150" t="b">
            <v>0</v>
          </cell>
          <cell r="Z1150" t="b">
            <v>0</v>
          </cell>
          <cell r="AA1150" t="b">
            <v>0</v>
          </cell>
          <cell r="AB1150" t="b">
            <v>0</v>
          </cell>
          <cell r="AC1150" t="b">
            <v>0</v>
          </cell>
        </row>
        <row r="1151">
          <cell r="Y1151" t="b">
            <v>0</v>
          </cell>
          <cell r="Z1151" t="b">
            <v>0</v>
          </cell>
          <cell r="AA1151" t="b">
            <v>0</v>
          </cell>
          <cell r="AB1151" t="b">
            <v>0</v>
          </cell>
          <cell r="AC1151" t="b">
            <v>0</v>
          </cell>
        </row>
        <row r="1152">
          <cell r="Y1152" t="b">
            <v>0</v>
          </cell>
          <cell r="Z1152" t="b">
            <v>0</v>
          </cell>
          <cell r="AA1152" t="b">
            <v>0</v>
          </cell>
          <cell r="AB1152" t="b">
            <v>0</v>
          </cell>
          <cell r="AC1152" t="b">
            <v>0</v>
          </cell>
        </row>
        <row r="1153">
          <cell r="Y1153" t="b">
            <v>0</v>
          </cell>
          <cell r="Z1153" t="b">
            <v>0</v>
          </cell>
          <cell r="AA1153" t="b">
            <v>0</v>
          </cell>
          <cell r="AB1153" t="b">
            <v>0</v>
          </cell>
          <cell r="AC1153" t="b">
            <v>0</v>
          </cell>
        </row>
        <row r="1154">
          <cell r="Y1154" t="b">
            <v>0</v>
          </cell>
          <cell r="Z1154" t="b">
            <v>0</v>
          </cell>
          <cell r="AA1154" t="b">
            <v>0</v>
          </cell>
          <cell r="AB1154" t="b">
            <v>0</v>
          </cell>
          <cell r="AC1154" t="b">
            <v>0</v>
          </cell>
        </row>
        <row r="1155">
          <cell r="Y1155" t="b">
            <v>0</v>
          </cell>
          <cell r="Z1155" t="b">
            <v>0</v>
          </cell>
          <cell r="AA1155" t="b">
            <v>0</v>
          </cell>
          <cell r="AB1155" t="b">
            <v>0</v>
          </cell>
          <cell r="AC1155" t="b">
            <v>0</v>
          </cell>
        </row>
        <row r="1156">
          <cell r="Y1156" t="b">
            <v>0</v>
          </cell>
          <cell r="Z1156" t="b">
            <v>0</v>
          </cell>
          <cell r="AA1156" t="b">
            <v>0</v>
          </cell>
          <cell r="AB1156" t="b">
            <v>0</v>
          </cell>
          <cell r="AC1156" t="b">
            <v>0</v>
          </cell>
        </row>
        <row r="1157">
          <cell r="Y1157" t="b">
            <v>0</v>
          </cell>
          <cell r="Z1157" t="b">
            <v>0</v>
          </cell>
          <cell r="AA1157" t="b">
            <v>0</v>
          </cell>
          <cell r="AB1157" t="b">
            <v>0</v>
          </cell>
          <cell r="AC1157" t="b">
            <v>0</v>
          </cell>
        </row>
        <row r="1158">
          <cell r="Y1158" t="b">
            <v>0</v>
          </cell>
          <cell r="Z1158" t="b">
            <v>0</v>
          </cell>
          <cell r="AA1158" t="b">
            <v>0</v>
          </cell>
          <cell r="AB1158" t="b">
            <v>0</v>
          </cell>
          <cell r="AC1158" t="b">
            <v>0</v>
          </cell>
        </row>
        <row r="1159">
          <cell r="Y1159" t="b">
            <v>0</v>
          </cell>
          <cell r="Z1159" t="b">
            <v>0</v>
          </cell>
          <cell r="AA1159" t="b">
            <v>0</v>
          </cell>
          <cell r="AB1159" t="b">
            <v>0</v>
          </cell>
          <cell r="AC1159" t="b">
            <v>0</v>
          </cell>
        </row>
        <row r="1160">
          <cell r="Y1160" t="b">
            <v>0</v>
          </cell>
          <cell r="Z1160" t="b">
            <v>0</v>
          </cell>
          <cell r="AA1160" t="b">
            <v>0</v>
          </cell>
          <cell r="AB1160" t="b">
            <v>0</v>
          </cell>
          <cell r="AC1160" t="b">
            <v>0</v>
          </cell>
        </row>
        <row r="1161">
          <cell r="Y1161" t="b">
            <v>0</v>
          </cell>
          <cell r="Z1161" t="b">
            <v>0</v>
          </cell>
          <cell r="AA1161" t="b">
            <v>0</v>
          </cell>
          <cell r="AB1161" t="b">
            <v>0</v>
          </cell>
          <cell r="AC1161" t="b">
            <v>0</v>
          </cell>
        </row>
        <row r="1162">
          <cell r="Y1162" t="b">
            <v>0</v>
          </cell>
          <cell r="Z1162" t="b">
            <v>0</v>
          </cell>
          <cell r="AA1162" t="b">
            <v>0</v>
          </cell>
          <cell r="AB1162" t="b">
            <v>0</v>
          </cell>
          <cell r="AC1162" t="b">
            <v>0</v>
          </cell>
        </row>
        <row r="1163">
          <cell r="Y1163" t="b">
            <v>0</v>
          </cell>
          <cell r="Z1163" t="b">
            <v>0</v>
          </cell>
          <cell r="AA1163" t="b">
            <v>0</v>
          </cell>
          <cell r="AB1163" t="b">
            <v>0</v>
          </cell>
          <cell r="AC1163" t="b">
            <v>0</v>
          </cell>
        </row>
        <row r="1164">
          <cell r="Y1164" t="b">
            <v>0</v>
          </cell>
          <cell r="Z1164" t="b">
            <v>0</v>
          </cell>
          <cell r="AA1164" t="b">
            <v>0</v>
          </cell>
          <cell r="AB1164" t="b">
            <v>0</v>
          </cell>
          <cell r="AC1164" t="b">
            <v>0</v>
          </cell>
        </row>
        <row r="1165">
          <cell r="Y1165" t="b">
            <v>0</v>
          </cell>
          <cell r="Z1165" t="b">
            <v>0</v>
          </cell>
          <cell r="AA1165" t="b">
            <v>0</v>
          </cell>
          <cell r="AB1165" t="b">
            <v>0</v>
          </cell>
          <cell r="AC1165" t="b">
            <v>0</v>
          </cell>
        </row>
        <row r="1166">
          <cell r="Y1166" t="b">
            <v>0</v>
          </cell>
          <cell r="Z1166" t="b">
            <v>0</v>
          </cell>
          <cell r="AA1166" t="b">
            <v>0</v>
          </cell>
          <cell r="AB1166" t="b">
            <v>0</v>
          </cell>
          <cell r="AC1166" t="b">
            <v>0</v>
          </cell>
        </row>
        <row r="1167">
          <cell r="Y1167" t="b">
            <v>0</v>
          </cell>
          <cell r="Z1167" t="b">
            <v>0</v>
          </cell>
          <cell r="AA1167" t="b">
            <v>0</v>
          </cell>
          <cell r="AB1167" t="b">
            <v>0</v>
          </cell>
          <cell r="AC1167" t="b">
            <v>0</v>
          </cell>
        </row>
        <row r="1168">
          <cell r="Y1168" t="b">
            <v>0</v>
          </cell>
          <cell r="Z1168" t="b">
            <v>0</v>
          </cell>
          <cell r="AA1168" t="b">
            <v>0</v>
          </cell>
          <cell r="AB1168" t="b">
            <v>0</v>
          </cell>
          <cell r="AC1168" t="b">
            <v>0</v>
          </cell>
        </row>
        <row r="1169">
          <cell r="Y1169" t="b">
            <v>0</v>
          </cell>
          <cell r="Z1169" t="b">
            <v>0</v>
          </cell>
          <cell r="AA1169" t="b">
            <v>0</v>
          </cell>
          <cell r="AB1169" t="b">
            <v>0</v>
          </cell>
          <cell r="AC1169" t="b">
            <v>0</v>
          </cell>
        </row>
        <row r="1170">
          <cell r="Y1170" t="b">
            <v>0</v>
          </cell>
          <cell r="Z1170" t="b">
            <v>0</v>
          </cell>
          <cell r="AA1170" t="b">
            <v>0</v>
          </cell>
          <cell r="AB1170" t="b">
            <v>0</v>
          </cell>
          <cell r="AC1170" t="b">
            <v>0</v>
          </cell>
        </row>
        <row r="1171">
          <cell r="Y1171" t="b">
            <v>0</v>
          </cell>
          <cell r="Z1171" t="b">
            <v>0</v>
          </cell>
          <cell r="AA1171" t="b">
            <v>0</v>
          </cell>
          <cell r="AB1171" t="b">
            <v>0</v>
          </cell>
          <cell r="AC1171" t="b">
            <v>0</v>
          </cell>
        </row>
        <row r="1172">
          <cell r="Y1172" t="b">
            <v>0</v>
          </cell>
          <cell r="Z1172" t="b">
            <v>0</v>
          </cell>
          <cell r="AA1172" t="b">
            <v>0</v>
          </cell>
          <cell r="AB1172" t="b">
            <v>0</v>
          </cell>
          <cell r="AC1172" t="b">
            <v>0</v>
          </cell>
        </row>
        <row r="1173">
          <cell r="Y1173" t="b">
            <v>0</v>
          </cell>
          <cell r="Z1173" t="b">
            <v>0</v>
          </cell>
          <cell r="AA1173" t="b">
            <v>0</v>
          </cell>
          <cell r="AB1173" t="b">
            <v>0</v>
          </cell>
          <cell r="AC1173" t="b">
            <v>0</v>
          </cell>
        </row>
        <row r="1174">
          <cell r="Y1174" t="b">
            <v>0</v>
          </cell>
          <cell r="Z1174" t="b">
            <v>0</v>
          </cell>
          <cell r="AA1174" t="b">
            <v>0</v>
          </cell>
          <cell r="AB1174" t="b">
            <v>0</v>
          </cell>
          <cell r="AC1174" t="b">
            <v>0</v>
          </cell>
        </row>
        <row r="1175">
          <cell r="Y1175" t="b">
            <v>0</v>
          </cell>
          <cell r="Z1175" t="b">
            <v>0</v>
          </cell>
          <cell r="AA1175" t="b">
            <v>0</v>
          </cell>
          <cell r="AB1175" t="b">
            <v>0</v>
          </cell>
          <cell r="AC1175" t="b">
            <v>0</v>
          </cell>
        </row>
        <row r="1176">
          <cell r="Y1176" t="b">
            <v>0</v>
          </cell>
          <cell r="Z1176" t="b">
            <v>0</v>
          </cell>
          <cell r="AA1176" t="b">
            <v>0</v>
          </cell>
          <cell r="AB1176" t="b">
            <v>0</v>
          </cell>
          <cell r="AC1176" t="b">
            <v>0</v>
          </cell>
        </row>
        <row r="1177">
          <cell r="Y1177" t="b">
            <v>0</v>
          </cell>
          <cell r="Z1177" t="b">
            <v>0</v>
          </cell>
          <cell r="AA1177" t="b">
            <v>0</v>
          </cell>
          <cell r="AB1177" t="b">
            <v>0</v>
          </cell>
          <cell r="AC1177" t="b">
            <v>0</v>
          </cell>
        </row>
        <row r="1178">
          <cell r="Y1178" t="b">
            <v>0</v>
          </cell>
          <cell r="Z1178" t="b">
            <v>0</v>
          </cell>
          <cell r="AA1178" t="b">
            <v>0</v>
          </cell>
          <cell r="AB1178" t="b">
            <v>0</v>
          </cell>
          <cell r="AC1178" t="b">
            <v>0</v>
          </cell>
        </row>
        <row r="1179">
          <cell r="Y1179" t="b">
            <v>0</v>
          </cell>
          <cell r="Z1179" t="b">
            <v>0</v>
          </cell>
          <cell r="AA1179" t="b">
            <v>0</v>
          </cell>
          <cell r="AB1179" t="b">
            <v>0</v>
          </cell>
          <cell r="AC1179" t="b">
            <v>0</v>
          </cell>
        </row>
        <row r="1180">
          <cell r="Y1180" t="b">
            <v>0</v>
          </cell>
          <cell r="Z1180" t="b">
            <v>0</v>
          </cell>
          <cell r="AA1180" t="b">
            <v>0</v>
          </cell>
          <cell r="AB1180" t="b">
            <v>0</v>
          </cell>
          <cell r="AC1180" t="b">
            <v>0</v>
          </cell>
        </row>
        <row r="1181">
          <cell r="Y1181" t="b">
            <v>0</v>
          </cell>
          <cell r="Z1181" t="b">
            <v>0</v>
          </cell>
          <cell r="AA1181" t="b">
            <v>0</v>
          </cell>
          <cell r="AB1181" t="b">
            <v>0</v>
          </cell>
          <cell r="AC1181" t="b">
            <v>0</v>
          </cell>
        </row>
        <row r="1182">
          <cell r="Y1182" t="b">
            <v>0</v>
          </cell>
          <cell r="Z1182" t="b">
            <v>0</v>
          </cell>
          <cell r="AA1182" t="b">
            <v>0</v>
          </cell>
          <cell r="AB1182" t="b">
            <v>0</v>
          </cell>
          <cell r="AC1182" t="b">
            <v>0</v>
          </cell>
        </row>
        <row r="1183">
          <cell r="Y1183" t="b">
            <v>0</v>
          </cell>
          <cell r="Z1183" t="b">
            <v>0</v>
          </cell>
          <cell r="AA1183" t="b">
            <v>0</v>
          </cell>
          <cell r="AB1183" t="b">
            <v>0</v>
          </cell>
          <cell r="AC1183" t="b">
            <v>0</v>
          </cell>
        </row>
        <row r="1184">
          <cell r="Y1184" t="b">
            <v>0</v>
          </cell>
          <cell r="Z1184" t="b">
            <v>0</v>
          </cell>
          <cell r="AA1184" t="b">
            <v>0</v>
          </cell>
          <cell r="AB1184" t="b">
            <v>0</v>
          </cell>
          <cell r="AC1184" t="b">
            <v>0</v>
          </cell>
        </row>
        <row r="1185">
          <cell r="Y1185" t="b">
            <v>0</v>
          </cell>
          <cell r="Z1185" t="b">
            <v>0</v>
          </cell>
          <cell r="AA1185" t="b">
            <v>0</v>
          </cell>
          <cell r="AB1185" t="b">
            <v>0</v>
          </cell>
          <cell r="AC1185" t="b">
            <v>0</v>
          </cell>
        </row>
        <row r="1186">
          <cell r="Y1186" t="b">
            <v>0</v>
          </cell>
          <cell r="Z1186" t="b">
            <v>0</v>
          </cell>
          <cell r="AA1186" t="b">
            <v>0</v>
          </cell>
          <cell r="AB1186" t="b">
            <v>0</v>
          </cell>
          <cell r="AC1186" t="b">
            <v>0</v>
          </cell>
        </row>
        <row r="1187">
          <cell r="Y1187" t="b">
            <v>0</v>
          </cell>
          <cell r="Z1187" t="b">
            <v>0</v>
          </cell>
          <cell r="AA1187" t="b">
            <v>0</v>
          </cell>
          <cell r="AB1187" t="b">
            <v>0</v>
          </cell>
          <cell r="AC1187" t="b">
            <v>0</v>
          </cell>
        </row>
        <row r="1188">
          <cell r="Y1188" t="b">
            <v>0</v>
          </cell>
          <cell r="Z1188" t="b">
            <v>0</v>
          </cell>
          <cell r="AA1188" t="b">
            <v>0</v>
          </cell>
          <cell r="AB1188" t="b">
            <v>0</v>
          </cell>
          <cell r="AC1188" t="b">
            <v>0</v>
          </cell>
        </row>
        <row r="1189">
          <cell r="Y1189" t="b">
            <v>0</v>
          </cell>
          <cell r="Z1189" t="b">
            <v>0</v>
          </cell>
          <cell r="AA1189" t="b">
            <v>0</v>
          </cell>
          <cell r="AB1189" t="b">
            <v>0</v>
          </cell>
          <cell r="AC1189" t="b">
            <v>0</v>
          </cell>
        </row>
        <row r="1190">
          <cell r="Y1190" t="b">
            <v>0</v>
          </cell>
          <cell r="Z1190" t="b">
            <v>0</v>
          </cell>
          <cell r="AA1190" t="b">
            <v>0</v>
          </cell>
          <cell r="AB1190" t="b">
            <v>0</v>
          </cell>
          <cell r="AC1190" t="b">
            <v>0</v>
          </cell>
        </row>
        <row r="1191">
          <cell r="Y1191" t="b">
            <v>0</v>
          </cell>
          <cell r="Z1191" t="b">
            <v>0</v>
          </cell>
          <cell r="AA1191" t="b">
            <v>0</v>
          </cell>
          <cell r="AB1191" t="b">
            <v>0</v>
          </cell>
          <cell r="AC1191" t="b">
            <v>0</v>
          </cell>
        </row>
        <row r="1192">
          <cell r="Y1192" t="b">
            <v>0</v>
          </cell>
          <cell r="Z1192" t="b">
            <v>0</v>
          </cell>
          <cell r="AA1192" t="b">
            <v>0</v>
          </cell>
          <cell r="AB1192" t="b">
            <v>0</v>
          </cell>
          <cell r="AC1192" t="b">
            <v>0</v>
          </cell>
        </row>
        <row r="1193">
          <cell r="Y1193" t="b">
            <v>0</v>
          </cell>
          <cell r="Z1193" t="b">
            <v>0</v>
          </cell>
          <cell r="AA1193" t="b">
            <v>0</v>
          </cell>
          <cell r="AB1193" t="b">
            <v>0</v>
          </cell>
          <cell r="AC1193" t="b">
            <v>0</v>
          </cell>
        </row>
        <row r="1194">
          <cell r="Y1194" t="b">
            <v>0</v>
          </cell>
          <cell r="Z1194" t="b">
            <v>0</v>
          </cell>
          <cell r="AA1194" t="b">
            <v>0</v>
          </cell>
          <cell r="AB1194" t="b">
            <v>0</v>
          </cell>
          <cell r="AC1194" t="b">
            <v>0</v>
          </cell>
        </row>
        <row r="1195">
          <cell r="Y1195" t="b">
            <v>0</v>
          </cell>
          <cell r="Z1195" t="b">
            <v>0</v>
          </cell>
          <cell r="AA1195" t="b">
            <v>0</v>
          </cell>
          <cell r="AB1195" t="b">
            <v>0</v>
          </cell>
          <cell r="AC1195" t="b">
            <v>0</v>
          </cell>
        </row>
        <row r="1196">
          <cell r="Y1196" t="b">
            <v>0</v>
          </cell>
          <cell r="Z1196" t="b">
            <v>0</v>
          </cell>
          <cell r="AA1196" t="b">
            <v>0</v>
          </cell>
          <cell r="AB1196" t="b">
            <v>0</v>
          </cell>
          <cell r="AC1196" t="b">
            <v>0</v>
          </cell>
        </row>
        <row r="1197">
          <cell r="Y1197" t="b">
            <v>0</v>
          </cell>
          <cell r="Z1197" t="b">
            <v>0</v>
          </cell>
          <cell r="AA1197" t="b">
            <v>0</v>
          </cell>
          <cell r="AB1197" t="b">
            <v>0</v>
          </cell>
          <cell r="AC1197" t="b">
            <v>0</v>
          </cell>
        </row>
        <row r="1198">
          <cell r="Y1198" t="b">
            <v>0</v>
          </cell>
          <cell r="Z1198" t="b">
            <v>0</v>
          </cell>
          <cell r="AA1198" t="b">
            <v>0</v>
          </cell>
          <cell r="AB1198" t="b">
            <v>0</v>
          </cell>
          <cell r="AC1198" t="b">
            <v>0</v>
          </cell>
        </row>
        <row r="1199">
          <cell r="Y1199" t="b">
            <v>0</v>
          </cell>
          <cell r="Z1199" t="b">
            <v>0</v>
          </cell>
          <cell r="AA1199" t="b">
            <v>0</v>
          </cell>
          <cell r="AB1199" t="b">
            <v>0</v>
          </cell>
          <cell r="AC1199" t="b">
            <v>0</v>
          </cell>
        </row>
        <row r="1200">
          <cell r="Y1200" t="b">
            <v>0</v>
          </cell>
          <cell r="Z1200" t="b">
            <v>0</v>
          </cell>
          <cell r="AA1200" t="b">
            <v>0</v>
          </cell>
          <cell r="AB1200" t="b">
            <v>0</v>
          </cell>
          <cell r="AC1200" t="b">
            <v>0</v>
          </cell>
        </row>
        <row r="1201">
          <cell r="Y1201" t="b">
            <v>0</v>
          </cell>
          <cell r="Z1201" t="b">
            <v>0</v>
          </cell>
          <cell r="AA1201" t="b">
            <v>0</v>
          </cell>
          <cell r="AB1201" t="b">
            <v>0</v>
          </cell>
          <cell r="AC1201" t="b">
            <v>0</v>
          </cell>
        </row>
        <row r="1202">
          <cell r="Y1202" t="b">
            <v>0</v>
          </cell>
          <cell r="Z1202" t="b">
            <v>0</v>
          </cell>
          <cell r="AA1202" t="b">
            <v>0</v>
          </cell>
          <cell r="AB1202" t="b">
            <v>0</v>
          </cell>
          <cell r="AC1202" t="b">
            <v>0</v>
          </cell>
        </row>
        <row r="1203">
          <cell r="Y1203" t="b">
            <v>0</v>
          </cell>
          <cell r="Z1203" t="b">
            <v>0</v>
          </cell>
          <cell r="AA1203" t="b">
            <v>0</v>
          </cell>
          <cell r="AB1203" t="b">
            <v>0</v>
          </cell>
          <cell r="AC1203" t="b">
            <v>0</v>
          </cell>
        </row>
        <row r="1204">
          <cell r="Y1204" t="b">
            <v>0</v>
          </cell>
          <cell r="Z1204" t="b">
            <v>0</v>
          </cell>
          <cell r="AA1204" t="b">
            <v>0</v>
          </cell>
          <cell r="AB1204" t="b">
            <v>0</v>
          </cell>
          <cell r="AC1204" t="b">
            <v>0</v>
          </cell>
        </row>
        <row r="1205">
          <cell r="Y1205" t="b">
            <v>0</v>
          </cell>
          <cell r="Z1205" t="b">
            <v>0</v>
          </cell>
          <cell r="AA1205" t="b">
            <v>0</v>
          </cell>
          <cell r="AB1205" t="b">
            <v>0</v>
          </cell>
          <cell r="AC1205" t="b">
            <v>0</v>
          </cell>
        </row>
        <row r="1206">
          <cell r="Y1206" t="b">
            <v>0</v>
          </cell>
          <cell r="Z1206" t="b">
            <v>0</v>
          </cell>
          <cell r="AA1206" t="b">
            <v>0</v>
          </cell>
          <cell r="AB1206" t="b">
            <v>0</v>
          </cell>
          <cell r="AC1206" t="b">
            <v>0</v>
          </cell>
        </row>
        <row r="1207">
          <cell r="Y1207" t="b">
            <v>0</v>
          </cell>
          <cell r="Z1207" t="b">
            <v>0</v>
          </cell>
          <cell r="AA1207" t="b">
            <v>0</v>
          </cell>
          <cell r="AB1207" t="b">
            <v>0</v>
          </cell>
          <cell r="AC1207" t="b">
            <v>0</v>
          </cell>
        </row>
        <row r="1208">
          <cell r="Y1208" t="b">
            <v>0</v>
          </cell>
          <cell r="Z1208" t="b">
            <v>0</v>
          </cell>
          <cell r="AA1208" t="b">
            <v>0</v>
          </cell>
          <cell r="AB1208" t="b">
            <v>0</v>
          </cell>
          <cell r="AC1208" t="b">
            <v>0</v>
          </cell>
        </row>
        <row r="1209">
          <cell r="Y1209" t="b">
            <v>0</v>
          </cell>
          <cell r="Z1209" t="b">
            <v>0</v>
          </cell>
          <cell r="AA1209" t="b">
            <v>0</v>
          </cell>
          <cell r="AB1209" t="b">
            <v>0</v>
          </cell>
          <cell r="AC1209" t="b">
            <v>0</v>
          </cell>
        </row>
        <row r="1210">
          <cell r="Y1210" t="b">
            <v>0</v>
          </cell>
          <cell r="Z1210" t="b">
            <v>0</v>
          </cell>
          <cell r="AA1210" t="b">
            <v>0</v>
          </cell>
          <cell r="AB1210" t="b">
            <v>0</v>
          </cell>
          <cell r="AC1210" t="b">
            <v>0</v>
          </cell>
        </row>
        <row r="1211">
          <cell r="Y1211" t="b">
            <v>0</v>
          </cell>
          <cell r="Z1211" t="b">
            <v>0</v>
          </cell>
          <cell r="AA1211" t="b">
            <v>0</v>
          </cell>
          <cell r="AB1211" t="b">
            <v>0</v>
          </cell>
          <cell r="AC1211" t="b">
            <v>0</v>
          </cell>
        </row>
        <row r="1212">
          <cell r="Y1212" t="b">
            <v>0</v>
          </cell>
          <cell r="Z1212" t="b">
            <v>0</v>
          </cell>
          <cell r="AA1212" t="b">
            <v>0</v>
          </cell>
          <cell r="AB1212" t="b">
            <v>0</v>
          </cell>
          <cell r="AC1212" t="b">
            <v>0</v>
          </cell>
        </row>
        <row r="1213">
          <cell r="Y1213" t="b">
            <v>0</v>
          </cell>
          <cell r="Z1213" t="b">
            <v>0</v>
          </cell>
          <cell r="AA1213" t="b">
            <v>0</v>
          </cell>
          <cell r="AB1213" t="b">
            <v>0</v>
          </cell>
          <cell r="AC1213" t="b">
            <v>0</v>
          </cell>
        </row>
        <row r="1214">
          <cell r="Y1214" t="b">
            <v>0</v>
          </cell>
          <cell r="Z1214" t="b">
            <v>0</v>
          </cell>
          <cell r="AA1214" t="b">
            <v>0</v>
          </cell>
          <cell r="AB1214" t="b">
            <v>0</v>
          </cell>
          <cell r="AC1214" t="b">
            <v>0</v>
          </cell>
        </row>
        <row r="1215">
          <cell r="Y1215" t="b">
            <v>0</v>
          </cell>
          <cell r="Z1215" t="b">
            <v>0</v>
          </cell>
          <cell r="AA1215" t="b">
            <v>0</v>
          </cell>
          <cell r="AB1215" t="b">
            <v>0</v>
          </cell>
          <cell r="AC1215" t="b">
            <v>0</v>
          </cell>
        </row>
        <row r="1216">
          <cell r="Y1216" t="b">
            <v>0</v>
          </cell>
          <cell r="Z1216" t="b">
            <v>0</v>
          </cell>
          <cell r="AA1216" t="b">
            <v>0</v>
          </cell>
          <cell r="AB1216" t="b">
            <v>0</v>
          </cell>
          <cell r="AC1216" t="b">
            <v>0</v>
          </cell>
        </row>
        <row r="1217">
          <cell r="Y1217" t="b">
            <v>0</v>
          </cell>
          <cell r="Z1217" t="b">
            <v>0</v>
          </cell>
          <cell r="AA1217" t="b">
            <v>0</v>
          </cell>
          <cell r="AB1217" t="b">
            <v>0</v>
          </cell>
          <cell r="AC1217" t="b">
            <v>0</v>
          </cell>
        </row>
        <row r="1218">
          <cell r="Y1218" t="b">
            <v>0</v>
          </cell>
          <cell r="Z1218" t="b">
            <v>0</v>
          </cell>
          <cell r="AA1218" t="b">
            <v>0</v>
          </cell>
          <cell r="AB1218" t="b">
            <v>0</v>
          </cell>
          <cell r="AC1218" t="b">
            <v>0</v>
          </cell>
        </row>
        <row r="1219">
          <cell r="Y1219" t="b">
            <v>0</v>
          </cell>
          <cell r="Z1219" t="b">
            <v>0</v>
          </cell>
          <cell r="AA1219" t="b">
            <v>0</v>
          </cell>
          <cell r="AB1219" t="b">
            <v>0</v>
          </cell>
          <cell r="AC1219" t="b">
            <v>0</v>
          </cell>
        </row>
        <row r="1220">
          <cell r="Y1220" t="b">
            <v>0</v>
          </cell>
          <cell r="Z1220" t="b">
            <v>0</v>
          </cell>
          <cell r="AA1220" t="b">
            <v>0</v>
          </cell>
          <cell r="AB1220" t="b">
            <v>0</v>
          </cell>
          <cell r="AC1220" t="b">
            <v>0</v>
          </cell>
        </row>
        <row r="1221">
          <cell r="Y1221" t="b">
            <v>0</v>
          </cell>
          <cell r="Z1221" t="b">
            <v>0</v>
          </cell>
          <cell r="AA1221" t="b">
            <v>0</v>
          </cell>
          <cell r="AB1221" t="b">
            <v>0</v>
          </cell>
          <cell r="AC1221" t="b">
            <v>0</v>
          </cell>
        </row>
        <row r="1222">
          <cell r="Y1222" t="b">
            <v>0</v>
          </cell>
          <cell r="Z1222" t="b">
            <v>0</v>
          </cell>
          <cell r="AA1222" t="b">
            <v>0</v>
          </cell>
          <cell r="AB1222" t="b">
            <v>0</v>
          </cell>
          <cell r="AC1222" t="b">
            <v>0</v>
          </cell>
        </row>
        <row r="1223">
          <cell r="Y1223" t="b">
            <v>0</v>
          </cell>
          <cell r="Z1223" t="b">
            <v>0</v>
          </cell>
          <cell r="AA1223" t="b">
            <v>0</v>
          </cell>
          <cell r="AB1223" t="b">
            <v>0</v>
          </cell>
          <cell r="AC1223" t="b">
            <v>0</v>
          </cell>
        </row>
        <row r="1224">
          <cell r="Y1224" t="b">
            <v>0</v>
          </cell>
          <cell r="Z1224" t="b">
            <v>0</v>
          </cell>
          <cell r="AA1224" t="b">
            <v>0</v>
          </cell>
          <cell r="AB1224" t="b">
            <v>0</v>
          </cell>
          <cell r="AC1224" t="b">
            <v>0</v>
          </cell>
        </row>
        <row r="1225">
          <cell r="Y1225" t="b">
            <v>0</v>
          </cell>
          <cell r="Z1225" t="b">
            <v>0</v>
          </cell>
          <cell r="AA1225" t="b">
            <v>0</v>
          </cell>
          <cell r="AB1225" t="b">
            <v>0</v>
          </cell>
          <cell r="AC1225" t="b">
            <v>0</v>
          </cell>
        </row>
        <row r="1226">
          <cell r="Y1226" t="b">
            <v>0</v>
          </cell>
          <cell r="Z1226" t="b">
            <v>0</v>
          </cell>
          <cell r="AA1226" t="b">
            <v>0</v>
          </cell>
          <cell r="AB1226" t="b">
            <v>0</v>
          </cell>
          <cell r="AC1226" t="b">
            <v>0</v>
          </cell>
        </row>
        <row r="1227">
          <cell r="Y1227" t="b">
            <v>0</v>
          </cell>
          <cell r="Z1227" t="b">
            <v>0</v>
          </cell>
          <cell r="AA1227" t="b">
            <v>0</v>
          </cell>
          <cell r="AB1227" t="b">
            <v>0</v>
          </cell>
          <cell r="AC1227" t="b">
            <v>0</v>
          </cell>
        </row>
        <row r="1228">
          <cell r="Y1228" t="b">
            <v>0</v>
          </cell>
          <cell r="Z1228" t="b">
            <v>0</v>
          </cell>
          <cell r="AA1228" t="b">
            <v>0</v>
          </cell>
          <cell r="AB1228" t="b">
            <v>0</v>
          </cell>
          <cell r="AC1228" t="b">
            <v>0</v>
          </cell>
        </row>
        <row r="1229">
          <cell r="Y1229" t="b">
            <v>0</v>
          </cell>
          <cell r="Z1229" t="b">
            <v>0</v>
          </cell>
          <cell r="AA1229" t="b">
            <v>0</v>
          </cell>
          <cell r="AB1229" t="b">
            <v>0</v>
          </cell>
          <cell r="AC1229" t="b">
            <v>0</v>
          </cell>
        </row>
        <row r="1230">
          <cell r="Y1230" t="b">
            <v>0</v>
          </cell>
          <cell r="Z1230" t="b">
            <v>0</v>
          </cell>
          <cell r="AA1230" t="b">
            <v>0</v>
          </cell>
          <cell r="AB1230" t="b">
            <v>0</v>
          </cell>
          <cell r="AC1230" t="b">
            <v>0</v>
          </cell>
        </row>
        <row r="1231">
          <cell r="Y1231" t="b">
            <v>0</v>
          </cell>
          <cell r="Z1231" t="b">
            <v>0</v>
          </cell>
          <cell r="AA1231" t="b">
            <v>0</v>
          </cell>
          <cell r="AB1231" t="b">
            <v>0</v>
          </cell>
          <cell r="AC1231" t="b">
            <v>0</v>
          </cell>
        </row>
      </sheetData>
      <sheetData sheetId="21">
        <row r="1">
          <cell r="Y1" t="str">
            <v>SmartCharts</v>
          </cell>
        </row>
      </sheetData>
      <sheetData sheetId="22">
        <row r="1">
          <cell r="Y1" t="str">
            <v>SmartCharts</v>
          </cell>
          <cell r="BH1" t="str">
            <v>.</v>
          </cell>
        </row>
        <row r="2">
          <cell r="BH2" t="str">
            <v>.</v>
          </cell>
        </row>
        <row r="3">
          <cell r="BH3" t="str">
            <v>.</v>
          </cell>
        </row>
        <row r="6">
          <cell r="C6" t="str">
            <v>Input starting data point here:</v>
          </cell>
        </row>
        <row r="7">
          <cell r="C7" t="str">
            <v>FY08</v>
          </cell>
          <cell r="D7">
            <v>0.32657756438371011</v>
          </cell>
        </row>
        <row r="8">
          <cell r="M8" t="str">
            <v>inv series</v>
          </cell>
          <cell r="P8" t="str">
            <v>clean labels</v>
          </cell>
        </row>
        <row r="9">
          <cell r="M9" t="str">
            <v>for labels</v>
          </cell>
        </row>
        <row r="10">
          <cell r="C10" t="str">
            <v>Input increments here:</v>
          </cell>
          <cell r="G10">
            <v>4</v>
          </cell>
          <cell r="H10" t="str">
            <v>Invisible</v>
          </cell>
          <cell r="I10" t="str">
            <v>Final</v>
          </cell>
          <cell r="J10" t="str">
            <v>Minus</v>
          </cell>
          <cell r="K10" t="str">
            <v>Plus</v>
          </cell>
          <cell r="L10" t="str">
            <v>Initial</v>
          </cell>
          <cell r="M10" t="str">
            <v>inside1</v>
          </cell>
          <cell r="N10" t="str">
            <v>inside2</v>
          </cell>
          <cell r="O10" t="str">
            <v>outside</v>
          </cell>
          <cell r="P10" t="str">
            <v>labfinal</v>
          </cell>
          <cell r="Q10" t="str">
            <v>labminus</v>
          </cell>
          <cell r="R10" t="str">
            <v>labplus</v>
          </cell>
          <cell r="S10" t="str">
            <v>labinitial</v>
          </cell>
          <cell r="T10" t="str">
            <v>labinside1</v>
          </cell>
          <cell r="U10" t="str">
            <v>labinside2</v>
          </cell>
        </row>
        <row r="11">
          <cell r="H11">
            <v>0</v>
          </cell>
        </row>
        <row r="12">
          <cell r="L12">
            <v>0.32657756438371011</v>
          </cell>
          <cell r="M12">
            <v>0</v>
          </cell>
          <cell r="N12">
            <v>0</v>
          </cell>
          <cell r="O12">
            <v>0</v>
          </cell>
          <cell r="P12" t="str">
            <v/>
          </cell>
          <cell r="Q12" t="str">
            <v/>
          </cell>
          <cell r="R12" t="str">
            <v/>
          </cell>
          <cell r="S12">
            <v>0.32657756438371011</v>
          </cell>
          <cell r="T12" t="str">
            <v>FY08</v>
          </cell>
        </row>
        <row r="13">
          <cell r="C13" t="str">
            <v>Favorable Mix Shift</v>
          </cell>
          <cell r="D13">
            <v>5.9671736839549405E-3</v>
          </cell>
          <cell r="G13">
            <v>1</v>
          </cell>
          <cell r="H13">
            <v>0.32657756438371011</v>
          </cell>
          <cell r="I13" t="str">
            <v/>
          </cell>
          <cell r="J13">
            <v>0</v>
          </cell>
          <cell r="K13">
            <v>5.9671736839549405E-3</v>
          </cell>
          <cell r="M13">
            <v>0</v>
          </cell>
          <cell r="N13">
            <v>0</v>
          </cell>
          <cell r="O13">
            <v>0</v>
          </cell>
          <cell r="P13" t="str">
            <v/>
          </cell>
          <cell r="Q13" t="str">
            <v/>
          </cell>
          <cell r="R13">
            <v>5.9671736839549405E-3</v>
          </cell>
          <cell r="S13" t="str">
            <v/>
          </cell>
          <cell r="T13" t="str">
            <v/>
          </cell>
          <cell r="U13" t="str">
            <v>Favorable Mix Shift</v>
          </cell>
        </row>
        <row r="14">
          <cell r="C14" t="str">
            <v>Jonesboro</v>
          </cell>
          <cell r="D14">
            <v>1.2999999999999999E-2</v>
          </cell>
          <cell r="G14">
            <v>2</v>
          </cell>
          <cell r="H14">
            <v>0.33254473806766505</v>
          </cell>
          <cell r="I14" t="str">
            <v/>
          </cell>
          <cell r="J14">
            <v>0</v>
          </cell>
          <cell r="K14">
            <v>1.2999999999999999E-2</v>
          </cell>
          <cell r="M14">
            <v>0</v>
          </cell>
          <cell r="N14">
            <v>0</v>
          </cell>
          <cell r="O14">
            <v>0</v>
          </cell>
          <cell r="P14" t="str">
            <v/>
          </cell>
          <cell r="Q14" t="str">
            <v/>
          </cell>
          <cell r="R14">
            <v>1.2999999999999999E-2</v>
          </cell>
          <cell r="S14" t="str">
            <v/>
          </cell>
          <cell r="T14" t="str">
            <v/>
          </cell>
          <cell r="U14" t="str">
            <v>Jonesboro</v>
          </cell>
        </row>
        <row r="15">
          <cell r="C15" t="str">
            <v>Cost Efficiencies</v>
          </cell>
          <cell r="D15">
            <v>5.0000000000000001E-3</v>
          </cell>
          <cell r="G15">
            <v>3</v>
          </cell>
          <cell r="H15">
            <v>0.34554473806766506</v>
          </cell>
          <cell r="I15" t="str">
            <v/>
          </cell>
          <cell r="J15">
            <v>0</v>
          </cell>
          <cell r="K15">
            <v>5.0000000000000001E-3</v>
          </cell>
          <cell r="M15">
            <v>0</v>
          </cell>
          <cell r="N15">
            <v>0</v>
          </cell>
          <cell r="O15">
            <v>0</v>
          </cell>
          <cell r="P15" t="str">
            <v/>
          </cell>
          <cell r="Q15" t="str">
            <v/>
          </cell>
          <cell r="R15">
            <v>5.0000000000000001E-3</v>
          </cell>
          <cell r="S15" t="str">
            <v/>
          </cell>
          <cell r="T15" t="str">
            <v/>
          </cell>
          <cell r="U15" t="str">
            <v>Cost Efficiencies</v>
          </cell>
        </row>
        <row r="16">
          <cell r="C16" t="str">
            <v>Other*</v>
          </cell>
          <cell r="D16">
            <v>-6.0000000000000053E-3</v>
          </cell>
          <cell r="G16">
            <v>4</v>
          </cell>
          <cell r="H16">
            <v>0.34454473806766506</v>
          </cell>
          <cell r="I16" t="str">
            <v/>
          </cell>
          <cell r="J16">
            <v>6.0000000000000053E-3</v>
          </cell>
          <cell r="K16">
            <v>0</v>
          </cell>
          <cell r="M16">
            <v>0</v>
          </cell>
          <cell r="N16">
            <v>0</v>
          </cell>
          <cell r="O16">
            <v>0</v>
          </cell>
          <cell r="P16" t="str">
            <v/>
          </cell>
          <cell r="Q16">
            <v>-6.0000000000000053E-3</v>
          </cell>
          <cell r="R16" t="str">
            <v/>
          </cell>
          <cell r="S16" t="str">
            <v/>
          </cell>
          <cell r="T16" t="str">
            <v/>
          </cell>
          <cell r="U16" t="str">
            <v>Other*</v>
          </cell>
        </row>
        <row r="17">
          <cell r="G17">
            <v>5</v>
          </cell>
          <cell r="H17" t="str">
            <v/>
          </cell>
          <cell r="I17">
            <v>0.34454473806766506</v>
          </cell>
          <cell r="J17">
            <v>0</v>
          </cell>
          <cell r="K17">
            <v>0</v>
          </cell>
          <cell r="M17">
            <v>0</v>
          </cell>
          <cell r="N17">
            <v>0</v>
          </cell>
          <cell r="O17">
            <v>0</v>
          </cell>
          <cell r="P17">
            <v>0.34454473806766506</v>
          </cell>
          <cell r="Q17" t="str">
            <v/>
          </cell>
          <cell r="R17" t="str">
            <v/>
          </cell>
          <cell r="S17" t="str">
            <v/>
          </cell>
          <cell r="T17" t="str">
            <v>FY11E</v>
          </cell>
          <cell r="U17" t="str">
            <v/>
          </cell>
        </row>
        <row r="18">
          <cell r="G18">
            <v>6</v>
          </cell>
          <cell r="H18" t="str">
            <v/>
          </cell>
          <cell r="I18" t="str">
            <v/>
          </cell>
          <cell r="J18">
            <v>0</v>
          </cell>
          <cell r="K18">
            <v>0</v>
          </cell>
          <cell r="M18">
            <v>0</v>
          </cell>
          <cell r="N18">
            <v>0</v>
          </cell>
          <cell r="O18">
            <v>0</v>
          </cell>
          <cell r="P18" t="str">
            <v/>
          </cell>
          <cell r="Q18" t="str">
            <v/>
          </cell>
          <cell r="R18" t="str">
            <v/>
          </cell>
          <cell r="S18" t="str">
            <v/>
          </cell>
          <cell r="T18" t="str">
            <v/>
          </cell>
          <cell r="U18" t="str">
            <v/>
          </cell>
        </row>
        <row r="19">
          <cell r="D19">
            <v>0.34454473806766506</v>
          </cell>
          <cell r="G19">
            <v>7</v>
          </cell>
          <cell r="H19" t="str">
            <v/>
          </cell>
          <cell r="I19" t="str">
            <v/>
          </cell>
          <cell r="J19">
            <v>0</v>
          </cell>
          <cell r="K19">
            <v>0.34454473806766506</v>
          </cell>
          <cell r="M19">
            <v>0</v>
          </cell>
          <cell r="N19">
            <v>0</v>
          </cell>
          <cell r="O19">
            <v>0</v>
          </cell>
          <cell r="P19" t="str">
            <v/>
          </cell>
          <cell r="Q19" t="str">
            <v/>
          </cell>
          <cell r="R19">
            <v>0.34454473806766506</v>
          </cell>
          <cell r="S19" t="str">
            <v/>
          </cell>
          <cell r="T19" t="str">
            <v/>
          </cell>
          <cell r="U19" t="str">
            <v/>
          </cell>
        </row>
        <row r="20">
          <cell r="G20">
            <v>8</v>
          </cell>
          <cell r="H20" t="str">
            <v/>
          </cell>
          <cell r="I20" t="str">
            <v/>
          </cell>
          <cell r="J20">
            <v>0</v>
          </cell>
          <cell r="K20">
            <v>0</v>
          </cell>
          <cell r="M20">
            <v>0</v>
          </cell>
          <cell r="N20">
            <v>0</v>
          </cell>
          <cell r="O20">
            <v>0</v>
          </cell>
          <cell r="P20" t="str">
            <v/>
          </cell>
          <cell r="Q20" t="str">
            <v/>
          </cell>
          <cell r="R20" t="str">
            <v/>
          </cell>
          <cell r="S20" t="str">
            <v/>
          </cell>
          <cell r="T20" t="str">
            <v/>
          </cell>
          <cell r="U20" t="str">
            <v/>
          </cell>
        </row>
        <row r="21">
          <cell r="G21">
            <v>9</v>
          </cell>
          <cell r="H21" t="str">
            <v/>
          </cell>
          <cell r="I21" t="str">
            <v/>
          </cell>
          <cell r="J21">
            <v>0</v>
          </cell>
          <cell r="K21">
            <v>0</v>
          </cell>
          <cell r="M21">
            <v>0</v>
          </cell>
          <cell r="N21">
            <v>0</v>
          </cell>
          <cell r="O21">
            <v>0</v>
          </cell>
          <cell r="P21" t="str">
            <v/>
          </cell>
          <cell r="Q21" t="str">
            <v/>
          </cell>
          <cell r="R21" t="str">
            <v/>
          </cell>
          <cell r="S21" t="str">
            <v/>
          </cell>
          <cell r="T21" t="str">
            <v/>
          </cell>
          <cell r="U21" t="str">
            <v/>
          </cell>
        </row>
        <row r="22">
          <cell r="G22">
            <v>10</v>
          </cell>
          <cell r="H22" t="str">
            <v/>
          </cell>
          <cell r="I22" t="str">
            <v/>
          </cell>
          <cell r="J22">
            <v>0</v>
          </cell>
          <cell r="K22">
            <v>0</v>
          </cell>
          <cell r="M22">
            <v>0</v>
          </cell>
          <cell r="N22">
            <v>0</v>
          </cell>
          <cell r="O22">
            <v>0</v>
          </cell>
          <cell r="P22" t="str">
            <v/>
          </cell>
          <cell r="Q22" t="str">
            <v/>
          </cell>
          <cell r="R22" t="str">
            <v/>
          </cell>
          <cell r="S22" t="str">
            <v/>
          </cell>
          <cell r="T22" t="str">
            <v/>
          </cell>
          <cell r="U22" t="str">
            <v/>
          </cell>
        </row>
        <row r="23">
          <cell r="G23">
            <v>11</v>
          </cell>
          <cell r="H23" t="str">
            <v/>
          </cell>
          <cell r="I23" t="str">
            <v/>
          </cell>
          <cell r="M23">
            <v>0</v>
          </cell>
          <cell r="N23">
            <v>0</v>
          </cell>
          <cell r="O23">
            <v>0</v>
          </cell>
          <cell r="P23" t="str">
            <v/>
          </cell>
          <cell r="Q23" t="str">
            <v/>
          </cell>
          <cell r="R23" t="str">
            <v/>
          </cell>
          <cell r="S23" t="str">
            <v/>
          </cell>
          <cell r="T23" t="str">
            <v/>
          </cell>
          <cell r="U23" t="str">
            <v/>
          </cell>
        </row>
        <row r="24">
          <cell r="G24">
            <v>12</v>
          </cell>
          <cell r="H24">
            <v>0</v>
          </cell>
          <cell r="I24" t="str">
            <v/>
          </cell>
          <cell r="M24">
            <v>0</v>
          </cell>
          <cell r="N24">
            <v>0</v>
          </cell>
          <cell r="O24">
            <v>0</v>
          </cell>
          <cell r="P24" t="str">
            <v/>
          </cell>
          <cell r="Q24" t="str">
            <v/>
          </cell>
          <cell r="R24" t="str">
            <v/>
          </cell>
          <cell r="S24" t="str">
            <v/>
          </cell>
          <cell r="T24" t="str">
            <v/>
          </cell>
          <cell r="U24" t="str">
            <v/>
          </cell>
        </row>
        <row r="25">
          <cell r="H25" t="str">
            <v>net chg</v>
          </cell>
          <cell r="I25">
            <v>0.02</v>
          </cell>
        </row>
        <row r="27">
          <cell r="C27" t="str">
            <v>Input label for end point here:</v>
          </cell>
        </row>
        <row r="28">
          <cell r="C28" t="str">
            <v>FY11E</v>
          </cell>
        </row>
        <row r="30">
          <cell r="C30" t="str">
            <v xml:space="preserve">End data value 
</v>
          </cell>
          <cell r="D30" t="str">
            <v/>
          </cell>
        </row>
        <row r="31">
          <cell r="C31" t="str">
            <v>is calculated</v>
          </cell>
        </row>
        <row r="32">
          <cell r="C32" t="str">
            <v>automatically</v>
          </cell>
        </row>
        <row r="1002">
          <cell r="A1002" t="str">
            <v>.</v>
          </cell>
          <cell r="B1002" t="str">
            <v>.</v>
          </cell>
          <cell r="C1002" t="str">
            <v>.</v>
          </cell>
        </row>
      </sheetData>
      <sheetData sheetId="23">
        <row r="2">
          <cell r="B2" t="str">
            <v>Global Hair Care Top 20 Markets (in Billions US $)</v>
          </cell>
          <cell r="K2" t="str">
            <v>CAGR</v>
          </cell>
          <cell r="O2" t="str">
            <v>$ in billions</v>
          </cell>
          <cell r="Q2">
            <v>2009</v>
          </cell>
          <cell r="S2" t="str">
            <v>Historical CAGRs</v>
          </cell>
        </row>
        <row r="3">
          <cell r="B3" t="str">
            <v>Rank</v>
          </cell>
          <cell r="C3" t="str">
            <v>Country</v>
          </cell>
          <cell r="D3">
            <v>2004</v>
          </cell>
          <cell r="E3">
            <v>2005</v>
          </cell>
          <cell r="F3">
            <v>2006</v>
          </cell>
          <cell r="G3">
            <v>2007</v>
          </cell>
          <cell r="H3">
            <v>2008</v>
          </cell>
          <cell r="I3">
            <v>2009</v>
          </cell>
          <cell r="K3" t="str">
            <v>1 Year</v>
          </cell>
          <cell r="L3" t="str">
            <v>3 Year</v>
          </cell>
          <cell r="M3" t="str">
            <v>5 Year</v>
          </cell>
          <cell r="O3" t="str">
            <v>Rank</v>
          </cell>
          <cell r="P3" t="str">
            <v>Country</v>
          </cell>
          <cell r="Q3" t="str">
            <v>Sales</v>
          </cell>
          <cell r="S3" t="str">
            <v>1 Year</v>
          </cell>
          <cell r="T3" t="str">
            <v>3 Year</v>
          </cell>
          <cell r="U3" t="str">
            <v>5 Year</v>
          </cell>
          <cell r="W3" t="str">
            <v>MS Select Mkts</v>
          </cell>
        </row>
        <row r="4">
          <cell r="B4">
            <v>1</v>
          </cell>
          <cell r="C4" t="str">
            <v>USA</v>
          </cell>
          <cell r="D4">
            <v>9.9697999999999993</v>
          </cell>
          <cell r="E4">
            <v>10.1989</v>
          </cell>
          <cell r="F4">
            <v>10.5235</v>
          </cell>
          <cell r="G4">
            <v>10.637799999999999</v>
          </cell>
          <cell r="H4">
            <v>10.4046</v>
          </cell>
          <cell r="I4">
            <v>10.0276</v>
          </cell>
          <cell r="K4">
            <v>-3.6233973434826927E-2</v>
          </cell>
          <cell r="L4">
            <v>-1.5961103226494022E-2</v>
          </cell>
          <cell r="M4">
            <v>1.1568221222775232E-3</v>
          </cell>
          <cell r="O4">
            <v>1</v>
          </cell>
          <cell r="P4" t="str">
            <v>USA</v>
          </cell>
          <cell r="Q4">
            <v>10.0276</v>
          </cell>
          <cell r="S4">
            <v>-3.6233973434826927E-2</v>
          </cell>
          <cell r="T4">
            <v>-1.5961103226494022E-2</v>
          </cell>
          <cell r="U4">
            <v>1.1568221222775232E-3</v>
          </cell>
        </row>
        <row r="5">
          <cell r="B5">
            <v>2</v>
          </cell>
          <cell r="C5" t="str">
            <v>Japan</v>
          </cell>
          <cell r="D5">
            <v>6.4606000000000003</v>
          </cell>
          <cell r="E5">
            <v>6.5324</v>
          </cell>
          <cell r="F5">
            <v>6.82</v>
          </cell>
          <cell r="G5">
            <v>6.8468</v>
          </cell>
          <cell r="H5">
            <v>6.7961</v>
          </cell>
          <cell r="I5">
            <v>6.6686000000000005</v>
          </cell>
          <cell r="K5">
            <v>-1.8760759847559538E-2</v>
          </cell>
          <cell r="L5">
            <v>-7.45524708300771E-3</v>
          </cell>
          <cell r="M5">
            <v>6.3576747826759039E-3</v>
          </cell>
          <cell r="N5" t="str">
            <v>a</v>
          </cell>
          <cell r="O5">
            <v>2</v>
          </cell>
          <cell r="P5" t="str">
            <v>Japan</v>
          </cell>
          <cell r="Q5">
            <v>6.6686000000000005</v>
          </cell>
          <cell r="S5">
            <v>-1.8760759847559538E-2</v>
          </cell>
          <cell r="T5">
            <v>-7.45524708300771E-3</v>
          </cell>
          <cell r="U5">
            <v>6.3576747826759039E-3</v>
          </cell>
          <cell r="W5" t="str">
            <v>v</v>
          </cell>
        </row>
        <row r="6">
          <cell r="B6">
            <v>3</v>
          </cell>
          <cell r="C6" t="str">
            <v>Brazil</v>
          </cell>
          <cell r="D6">
            <v>3.9683999999999999</v>
          </cell>
          <cell r="E6">
            <v>4.4691000000000001</v>
          </cell>
          <cell r="F6">
            <v>5.0667999999999997</v>
          </cell>
          <cell r="G6">
            <v>5.6471999999999998</v>
          </cell>
          <cell r="H6">
            <v>5.6677</v>
          </cell>
          <cell r="I6">
            <v>6.1269999999999998</v>
          </cell>
          <cell r="K6">
            <v>8.1038163628985194E-2</v>
          </cell>
          <cell r="L6">
            <v>6.538040840241699E-2</v>
          </cell>
          <cell r="M6">
            <v>9.0753180160867641E-2</v>
          </cell>
          <cell r="N6" t="str">
            <v>b</v>
          </cell>
          <cell r="O6">
            <v>3</v>
          </cell>
          <cell r="P6" t="str">
            <v>Brazil</v>
          </cell>
          <cell r="Q6">
            <v>6.1269999999999998</v>
          </cell>
          <cell r="S6">
            <v>8.1038163628985194E-2</v>
          </cell>
          <cell r="T6">
            <v>6.538040840241699E-2</v>
          </cell>
          <cell r="U6">
            <v>9.0753180160867641E-2</v>
          </cell>
        </row>
        <row r="7">
          <cell r="B7">
            <v>4</v>
          </cell>
          <cell r="C7" t="str">
            <v>China</v>
          </cell>
          <cell r="D7">
            <v>2.4950000000000001</v>
          </cell>
          <cell r="E7">
            <v>2.6284999999999998</v>
          </cell>
          <cell r="F7">
            <v>2.8672</v>
          </cell>
          <cell r="G7">
            <v>3.1751999999999998</v>
          </cell>
          <cell r="H7">
            <v>3.5034000000000001</v>
          </cell>
          <cell r="I7">
            <v>3.8330000000000002</v>
          </cell>
          <cell r="K7">
            <v>9.408003653593644E-2</v>
          </cell>
          <cell r="L7">
            <v>0.10160765148424145</v>
          </cell>
          <cell r="M7">
            <v>8.9666636553754175E-2</v>
          </cell>
          <cell r="N7" t="str">
            <v>b</v>
          </cell>
          <cell r="O7">
            <v>4</v>
          </cell>
          <cell r="P7" t="str">
            <v>China</v>
          </cell>
          <cell r="Q7">
            <v>3.8330000000000002</v>
          </cell>
          <cell r="S7">
            <v>9.408003653593644E-2</v>
          </cell>
          <cell r="T7">
            <v>0.10160765148424145</v>
          </cell>
          <cell r="U7">
            <v>8.9666636553754175E-2</v>
          </cell>
        </row>
        <row r="8">
          <cell r="B8">
            <v>5</v>
          </cell>
          <cell r="C8" t="str">
            <v>Germany</v>
          </cell>
          <cell r="D8">
            <v>2.7979000000000003</v>
          </cell>
          <cell r="E8">
            <v>2.7505000000000002</v>
          </cell>
          <cell r="F8">
            <v>2.7973000000000003</v>
          </cell>
          <cell r="G8">
            <v>2.8629000000000002</v>
          </cell>
          <cell r="H8">
            <v>2.8475999999999999</v>
          </cell>
          <cell r="I8">
            <v>2.8999000000000001</v>
          </cell>
          <cell r="K8">
            <v>1.8366343587582712E-2</v>
          </cell>
          <cell r="L8">
            <v>1.2079571560354774E-2</v>
          </cell>
          <cell r="M8">
            <v>7.1871278867323696E-3</v>
          </cell>
          <cell r="N8" t="str">
            <v>a</v>
          </cell>
          <cell r="O8">
            <v>5</v>
          </cell>
          <cell r="P8" t="str">
            <v>Germany</v>
          </cell>
          <cell r="Q8">
            <v>2.8999000000000001</v>
          </cell>
          <cell r="S8">
            <v>1.8366343587582712E-2</v>
          </cell>
          <cell r="T8">
            <v>1.2079571560354774E-2</v>
          </cell>
          <cell r="U8">
            <v>7.1871278867323696E-3</v>
          </cell>
          <cell r="W8" t="str">
            <v>v</v>
          </cell>
        </row>
        <row r="9">
          <cell r="B9">
            <v>6</v>
          </cell>
          <cell r="C9" t="str">
            <v>France</v>
          </cell>
          <cell r="D9">
            <v>2.6295999999999999</v>
          </cell>
          <cell r="E9">
            <v>2.5495999999999999</v>
          </cell>
          <cell r="F9">
            <v>2.5018000000000002</v>
          </cell>
          <cell r="G9">
            <v>2.4876999999999998</v>
          </cell>
          <cell r="H9">
            <v>2.4494000000000002</v>
          </cell>
          <cell r="I9">
            <v>2.3778000000000001</v>
          </cell>
          <cell r="K9">
            <v>-2.9231648566996005E-2</v>
          </cell>
          <cell r="L9">
            <v>-1.6802169646434217E-2</v>
          </cell>
          <cell r="M9">
            <v>-1.9929930697408449E-2</v>
          </cell>
          <cell r="N9" t="str">
            <v>a</v>
          </cell>
          <cell r="O9">
            <v>6</v>
          </cell>
          <cell r="P9" t="str">
            <v>France</v>
          </cell>
          <cell r="Q9">
            <v>2.3778000000000001</v>
          </cell>
          <cell r="S9">
            <v>-2.9231648566996005E-2</v>
          </cell>
          <cell r="T9">
            <v>-1.6802169646434217E-2</v>
          </cell>
          <cell r="U9">
            <v>-1.9929930697408449E-2</v>
          </cell>
          <cell r="W9" t="str">
            <v>v</v>
          </cell>
        </row>
        <row r="10">
          <cell r="B10">
            <v>7</v>
          </cell>
          <cell r="C10" t="str">
            <v>United Kingdom</v>
          </cell>
          <cell r="D10">
            <v>1.9957</v>
          </cell>
          <cell r="E10">
            <v>2.0110999999999999</v>
          </cell>
          <cell r="F10">
            <v>2.0251999999999999</v>
          </cell>
          <cell r="G10">
            <v>2.0316999999999998</v>
          </cell>
          <cell r="H10">
            <v>2.0455000000000001</v>
          </cell>
          <cell r="I10">
            <v>2.0655999999999999</v>
          </cell>
          <cell r="K10">
            <v>9.8264483011487602E-3</v>
          </cell>
          <cell r="L10">
            <v>6.6058161235038604E-3</v>
          </cell>
          <cell r="M10">
            <v>6.9089323343565212E-3</v>
          </cell>
          <cell r="N10" t="str">
            <v>a</v>
          </cell>
          <cell r="O10">
            <v>7</v>
          </cell>
          <cell r="P10" t="str">
            <v>UK</v>
          </cell>
          <cell r="Q10">
            <v>2.0655999999999999</v>
          </cell>
          <cell r="S10">
            <v>9.8264483011487602E-3</v>
          </cell>
          <cell r="T10">
            <v>6.6058161235038604E-3</v>
          </cell>
          <cell r="U10">
            <v>6.9089323343565212E-3</v>
          </cell>
          <cell r="W10" t="str">
            <v>v</v>
          </cell>
        </row>
        <row r="11">
          <cell r="B11">
            <v>8</v>
          </cell>
          <cell r="C11" t="str">
            <v>Italy</v>
          </cell>
          <cell r="D11">
            <v>1.8069000000000002</v>
          </cell>
          <cell r="E11">
            <v>1.79</v>
          </cell>
          <cell r="F11">
            <v>1.762</v>
          </cell>
          <cell r="G11">
            <v>1.7601</v>
          </cell>
          <cell r="H11">
            <v>1.7726999999999999</v>
          </cell>
          <cell r="I11">
            <v>1.8135999999999999</v>
          </cell>
          <cell r="K11">
            <v>2.3072149827946031E-2</v>
          </cell>
          <cell r="L11">
            <v>9.6678656688329312E-3</v>
          </cell>
          <cell r="M11">
            <v>7.4050413301640639E-4</v>
          </cell>
          <cell r="N11" t="str">
            <v>b</v>
          </cell>
          <cell r="O11">
            <v>8</v>
          </cell>
          <cell r="P11" t="str">
            <v>Italy</v>
          </cell>
          <cell r="Q11">
            <v>1.8135999999999999</v>
          </cell>
          <cell r="S11">
            <v>2.3072149827946031E-2</v>
          </cell>
          <cell r="T11">
            <v>9.6678656688329312E-3</v>
          </cell>
          <cell r="U11">
            <v>7.4050413301640639E-4</v>
          </cell>
        </row>
        <row r="12">
          <cell r="B12">
            <v>9</v>
          </cell>
          <cell r="C12" t="str">
            <v>Russia</v>
          </cell>
          <cell r="D12">
            <v>0.99379999999999991</v>
          </cell>
          <cell r="E12">
            <v>1.1582999999999999</v>
          </cell>
          <cell r="F12">
            <v>1.3800999999999999</v>
          </cell>
          <cell r="G12">
            <v>1.512</v>
          </cell>
          <cell r="H12">
            <v>1.6625999999999999</v>
          </cell>
          <cell r="I12">
            <v>1.7450999999999999</v>
          </cell>
          <cell r="K12">
            <v>4.9621075424034711E-2</v>
          </cell>
          <cell r="L12">
            <v>8.1359054066524994E-2</v>
          </cell>
          <cell r="M12">
            <v>0.11919114460475111</v>
          </cell>
          <cell r="N12" t="str">
            <v>b</v>
          </cell>
          <cell r="O12">
            <v>9</v>
          </cell>
          <cell r="P12" t="str">
            <v>Russia</v>
          </cell>
          <cell r="Q12">
            <v>1.7450999999999999</v>
          </cell>
          <cell r="S12">
            <v>4.9621075424034711E-2</v>
          </cell>
          <cell r="T12">
            <v>8.1359054066524994E-2</v>
          </cell>
          <cell r="U12">
            <v>0.11919114460475111</v>
          </cell>
        </row>
        <row r="13">
          <cell r="B13">
            <v>10</v>
          </cell>
          <cell r="C13" t="str">
            <v>Mexico</v>
          </cell>
          <cell r="D13">
            <v>1.0582</v>
          </cell>
          <cell r="E13">
            <v>1.1434000000000002</v>
          </cell>
          <cell r="F13">
            <v>1.2334000000000001</v>
          </cell>
          <cell r="G13">
            <v>1.3588</v>
          </cell>
          <cell r="H13">
            <v>1.5664</v>
          </cell>
          <cell r="I13">
            <v>1.6696</v>
          </cell>
          <cell r="K13">
            <v>6.588355464759954E-2</v>
          </cell>
          <cell r="L13">
            <v>0.10620639292167944</v>
          </cell>
          <cell r="M13">
            <v>9.5491307247693724E-2</v>
          </cell>
          <cell r="N13" t="str">
            <v>a</v>
          </cell>
          <cell r="O13">
            <v>10</v>
          </cell>
          <cell r="P13" t="str">
            <v>Mexico</v>
          </cell>
          <cell r="Q13">
            <v>1.6696</v>
          </cell>
          <cell r="S13">
            <v>6.588355464759954E-2</v>
          </cell>
          <cell r="T13">
            <v>0.10620639292167944</v>
          </cell>
          <cell r="U13">
            <v>9.5491307247693724E-2</v>
          </cell>
          <cell r="W13" t="str">
            <v>v</v>
          </cell>
        </row>
        <row r="14">
          <cell r="B14">
            <v>11</v>
          </cell>
          <cell r="C14" t="str">
            <v>Spain</v>
          </cell>
          <cell r="D14">
            <v>1.2995999999999999</v>
          </cell>
          <cell r="E14">
            <v>1.4202000000000001</v>
          </cell>
          <cell r="F14">
            <v>1.5247999999999999</v>
          </cell>
          <cell r="G14">
            <v>1.5994000000000002</v>
          </cell>
          <cell r="H14">
            <v>1.6194999999999999</v>
          </cell>
          <cell r="I14">
            <v>1.6135999999999999</v>
          </cell>
          <cell r="K14">
            <v>-3.6430997221365002E-3</v>
          </cell>
          <cell r="L14">
            <v>1.9047279646024817E-2</v>
          </cell>
          <cell r="M14">
            <v>4.4232573882959647E-2</v>
          </cell>
          <cell r="N14" t="str">
            <v>a</v>
          </cell>
          <cell r="O14">
            <v>11</v>
          </cell>
          <cell r="P14" t="str">
            <v>Spain</v>
          </cell>
          <cell r="Q14">
            <v>1.6135999999999999</v>
          </cell>
          <cell r="S14">
            <v>-3.6430997221365002E-3</v>
          </cell>
          <cell r="T14">
            <v>1.9047279646024817E-2</v>
          </cell>
          <cell r="U14">
            <v>4.4232573882959647E-2</v>
          </cell>
          <cell r="W14" t="str">
            <v>v</v>
          </cell>
        </row>
        <row r="15">
          <cell r="B15">
            <v>12</v>
          </cell>
          <cell r="C15" t="str">
            <v>India</v>
          </cell>
          <cell r="D15">
            <v>0.8377</v>
          </cell>
          <cell r="E15">
            <v>0.9242999999999999</v>
          </cell>
          <cell r="F15">
            <v>1.0315000000000001</v>
          </cell>
          <cell r="G15">
            <v>1.1575</v>
          </cell>
          <cell r="H15">
            <v>1.3232999999999999</v>
          </cell>
          <cell r="I15">
            <v>1.5241</v>
          </cell>
          <cell r="K15">
            <v>0.15174185747751845</v>
          </cell>
          <cell r="L15">
            <v>0.13897644761628869</v>
          </cell>
          <cell r="M15">
            <v>0.12715849764789677</v>
          </cell>
          <cell r="O15">
            <v>12</v>
          </cell>
          <cell r="P15" t="str">
            <v>India</v>
          </cell>
          <cell r="Q15">
            <v>1.5241</v>
          </cell>
          <cell r="S15">
            <v>0.15174185747751845</v>
          </cell>
          <cell r="T15">
            <v>0.13897644761628869</v>
          </cell>
          <cell r="U15">
            <v>0.12715849764789677</v>
          </cell>
        </row>
        <row r="16">
          <cell r="B16">
            <v>13</v>
          </cell>
          <cell r="C16" t="str">
            <v>Canada</v>
          </cell>
          <cell r="D16">
            <v>1.1950000000000001</v>
          </cell>
          <cell r="E16">
            <v>1.2384000000000002</v>
          </cell>
          <cell r="F16">
            <v>1.2747999999999999</v>
          </cell>
          <cell r="G16">
            <v>1.3023</v>
          </cell>
          <cell r="H16">
            <v>1.3128</v>
          </cell>
          <cell r="I16">
            <v>1.3105</v>
          </cell>
          <cell r="K16">
            <v>-1.7519804996952715E-3</v>
          </cell>
          <cell r="L16">
            <v>9.2489900667520608E-3</v>
          </cell>
          <cell r="M16">
            <v>1.8623811287038938E-2</v>
          </cell>
          <cell r="N16" t="str">
            <v>a</v>
          </cell>
          <cell r="O16">
            <v>13</v>
          </cell>
          <cell r="P16" t="str">
            <v>Canada</v>
          </cell>
          <cell r="Q16">
            <v>1.3105</v>
          </cell>
          <cell r="S16">
            <v>-1.7519804996952715E-3</v>
          </cell>
          <cell r="T16">
            <v>9.2489900667520608E-3</v>
          </cell>
          <cell r="U16">
            <v>1.8623811287038938E-2</v>
          </cell>
          <cell r="W16" t="str">
            <v>v</v>
          </cell>
        </row>
        <row r="17">
          <cell r="B17">
            <v>14</v>
          </cell>
          <cell r="C17" t="str">
            <v>Venezuela</v>
          </cell>
          <cell r="D17">
            <v>0.19140000000000001</v>
          </cell>
          <cell r="E17">
            <v>0.28460000000000002</v>
          </cell>
          <cell r="F17">
            <v>0.38039999999999996</v>
          </cell>
          <cell r="G17">
            <v>0.48219999999999996</v>
          </cell>
          <cell r="H17">
            <v>0.60960000000000003</v>
          </cell>
          <cell r="I17">
            <v>0.90110000000000001</v>
          </cell>
          <cell r="K17">
            <v>0.47818241469816258</v>
          </cell>
          <cell r="L17">
            <v>0.333043005486509</v>
          </cell>
          <cell r="M17">
            <v>0.36322082297293745</v>
          </cell>
          <cell r="N17" t="str">
            <v>b</v>
          </cell>
          <cell r="O17">
            <v>14</v>
          </cell>
          <cell r="P17" t="str">
            <v>Venezuela</v>
          </cell>
          <cell r="Q17">
            <v>0.90110000000000001</v>
          </cell>
          <cell r="S17">
            <v>0.47818241469816258</v>
          </cell>
          <cell r="T17">
            <v>0.333043005486509</v>
          </cell>
          <cell r="U17">
            <v>0.36322082297293745</v>
          </cell>
        </row>
        <row r="18">
          <cell r="B18">
            <v>15</v>
          </cell>
          <cell r="C18" t="str">
            <v>Argentina</v>
          </cell>
          <cell r="D18">
            <v>0.28420000000000001</v>
          </cell>
          <cell r="E18">
            <v>0.34549999999999997</v>
          </cell>
          <cell r="F18">
            <v>0.40179999999999999</v>
          </cell>
          <cell r="G18">
            <v>0.45750000000000002</v>
          </cell>
          <cell r="H18">
            <v>0.59220000000000006</v>
          </cell>
          <cell r="I18">
            <v>0.71729999999999994</v>
          </cell>
          <cell r="K18">
            <v>0.21124620060790256</v>
          </cell>
          <cell r="L18">
            <v>0.21310101510930002</v>
          </cell>
          <cell r="M18">
            <v>0.20341480875817708</v>
          </cell>
          <cell r="O18">
            <v>15</v>
          </cell>
          <cell r="P18" t="str">
            <v>Argentina</v>
          </cell>
          <cell r="Q18">
            <v>0.71729999999999994</v>
          </cell>
          <cell r="S18">
            <v>0.21124620060790256</v>
          </cell>
          <cell r="T18">
            <v>0.21310101510930002</v>
          </cell>
          <cell r="U18">
            <v>0.20341480875817708</v>
          </cell>
        </row>
        <row r="19">
          <cell r="B19">
            <v>16</v>
          </cell>
          <cell r="C19" t="str">
            <v>Netherlands</v>
          </cell>
          <cell r="D19">
            <v>0.64929999999999999</v>
          </cell>
          <cell r="E19">
            <v>0.64879999999999993</v>
          </cell>
          <cell r="F19">
            <v>0.65200000000000002</v>
          </cell>
          <cell r="G19">
            <v>0.65939999999999999</v>
          </cell>
          <cell r="H19">
            <v>0.68140000000000001</v>
          </cell>
          <cell r="I19">
            <v>0.6885</v>
          </cell>
          <cell r="K19">
            <v>1.0419724097446403E-2</v>
          </cell>
          <cell r="L19">
            <v>1.832275778466963E-2</v>
          </cell>
          <cell r="M19">
            <v>1.179308827125336E-2</v>
          </cell>
          <cell r="O19">
            <v>16</v>
          </cell>
          <cell r="P19" t="str">
            <v>Netherlands</v>
          </cell>
          <cell r="Q19">
            <v>0.6885</v>
          </cell>
          <cell r="S19">
            <v>1.0419724097446403E-2</v>
          </cell>
          <cell r="T19">
            <v>1.832275778466963E-2</v>
          </cell>
          <cell r="U19">
            <v>1.179308827125336E-2</v>
          </cell>
        </row>
        <row r="20">
          <cell r="B20">
            <v>17</v>
          </cell>
          <cell r="C20" t="str">
            <v>Poland</v>
          </cell>
          <cell r="D20">
            <v>0.53670000000000007</v>
          </cell>
          <cell r="E20">
            <v>0.56010000000000004</v>
          </cell>
          <cell r="F20">
            <v>0.58560000000000001</v>
          </cell>
          <cell r="G20">
            <v>0.60939999999999994</v>
          </cell>
          <cell r="H20">
            <v>0.65289999999999992</v>
          </cell>
          <cell r="I20">
            <v>0.68529999999999991</v>
          </cell>
          <cell r="K20">
            <v>4.962475111043041E-2</v>
          </cell>
          <cell r="L20">
            <v>5.380410967539917E-2</v>
          </cell>
          <cell r="M20">
            <v>5.0097990270125958E-2</v>
          </cell>
          <cell r="N20" t="str">
            <v>b</v>
          </cell>
          <cell r="O20">
            <v>17</v>
          </cell>
          <cell r="P20" t="str">
            <v>Poland</v>
          </cell>
          <cell r="Q20">
            <v>0.68529999999999991</v>
          </cell>
          <cell r="S20">
            <v>4.962475111043041E-2</v>
          </cell>
          <cell r="T20">
            <v>5.380410967539917E-2</v>
          </cell>
          <cell r="U20">
            <v>5.0097990270125958E-2</v>
          </cell>
          <cell r="W20" t="str">
            <v>v</v>
          </cell>
        </row>
        <row r="21">
          <cell r="B21">
            <v>18</v>
          </cell>
          <cell r="C21" t="str">
            <v>South Korea</v>
          </cell>
          <cell r="D21">
            <v>0.60599999999999998</v>
          </cell>
          <cell r="E21">
            <v>0.626</v>
          </cell>
          <cell r="F21">
            <v>0.64290000000000003</v>
          </cell>
          <cell r="G21">
            <v>0.64929999999999999</v>
          </cell>
          <cell r="H21">
            <v>0.65779999999999994</v>
          </cell>
          <cell r="I21">
            <v>0.67670000000000008</v>
          </cell>
          <cell r="K21">
            <v>2.8732137427789795E-2</v>
          </cell>
          <cell r="L21">
            <v>1.7226307978003064E-2</v>
          </cell>
          <cell r="M21">
            <v>2.2314946802768132E-2</v>
          </cell>
          <cell r="O21">
            <v>18</v>
          </cell>
          <cell r="P21" t="str">
            <v>South Korea</v>
          </cell>
          <cell r="Q21">
            <v>0.67670000000000008</v>
          </cell>
          <cell r="S21">
            <v>2.8732137427789795E-2</v>
          </cell>
          <cell r="T21">
            <v>1.7226307978003064E-2</v>
          </cell>
          <cell r="U21">
            <v>2.2314946802768132E-2</v>
          </cell>
        </row>
        <row r="22">
          <cell r="B22">
            <v>19</v>
          </cell>
          <cell r="C22" t="str">
            <v>Australia</v>
          </cell>
          <cell r="D22">
            <v>0.57510000000000006</v>
          </cell>
          <cell r="E22">
            <v>0.58860000000000001</v>
          </cell>
          <cell r="F22">
            <v>0.5998</v>
          </cell>
          <cell r="G22">
            <v>0.61120000000000008</v>
          </cell>
          <cell r="H22">
            <v>0.62270000000000003</v>
          </cell>
          <cell r="I22">
            <v>0.6391</v>
          </cell>
          <cell r="K22">
            <v>2.6336919865103559E-2</v>
          </cell>
          <cell r="L22">
            <v>2.1380241087971763E-2</v>
          </cell>
          <cell r="M22">
            <v>2.1327651035588202E-2</v>
          </cell>
          <cell r="O22">
            <v>19</v>
          </cell>
          <cell r="P22" t="str">
            <v>Australia</v>
          </cell>
          <cell r="Q22">
            <v>0.6391</v>
          </cell>
          <cell r="S22">
            <v>2.6336919865103559E-2</v>
          </cell>
          <cell r="T22">
            <v>2.1380241087971763E-2</v>
          </cell>
          <cell r="U22">
            <v>2.1327651035588202E-2</v>
          </cell>
        </row>
        <row r="23">
          <cell r="B23">
            <v>20</v>
          </cell>
          <cell r="C23" t="str">
            <v>Thailand</v>
          </cell>
          <cell r="D23">
            <v>0.44630000000000003</v>
          </cell>
          <cell r="E23">
            <v>0.46279999999999999</v>
          </cell>
          <cell r="F23">
            <v>0.48130000000000001</v>
          </cell>
          <cell r="G23">
            <v>0.50760000000000005</v>
          </cell>
          <cell r="H23">
            <v>0.53720000000000001</v>
          </cell>
          <cell r="I23">
            <v>0.57079999999999997</v>
          </cell>
          <cell r="K23">
            <v>6.2546537602382601E-2</v>
          </cell>
          <cell r="L23">
            <v>5.8496356831073681E-2</v>
          </cell>
          <cell r="M23">
            <v>5.0440397886730715E-2</v>
          </cell>
          <cell r="N23" t="str">
            <v>a</v>
          </cell>
          <cell r="O23">
            <v>20</v>
          </cell>
          <cell r="P23" t="str">
            <v>Thailand</v>
          </cell>
          <cell r="Q23">
            <v>0.57079999999999997</v>
          </cell>
          <cell r="S23">
            <v>6.2546537602382601E-2</v>
          </cell>
          <cell r="T23">
            <v>5.8496356831073681E-2</v>
          </cell>
          <cell r="U23">
            <v>5.0440397886730715E-2</v>
          </cell>
          <cell r="W23" t="str">
            <v>v</v>
          </cell>
        </row>
        <row r="24">
          <cell r="B24">
            <v>14</v>
          </cell>
          <cell r="C24" t="str">
            <v>Total Top 20 Markets</v>
          </cell>
          <cell r="D24">
            <v>40.797199999999997</v>
          </cell>
          <cell r="E24">
            <v>42.331099999999992</v>
          </cell>
          <cell r="F24">
            <v>44.552199999999999</v>
          </cell>
          <cell r="G24">
            <v>46.355999999999995</v>
          </cell>
          <cell r="H24">
            <v>47.325400000000016</v>
          </cell>
          <cell r="I24">
            <v>48.554799999999986</v>
          </cell>
          <cell r="K24">
            <v>2.5977593427630286E-2</v>
          </cell>
          <cell r="L24">
            <v>2.909232294409736E-2</v>
          </cell>
          <cell r="M24">
            <v>3.5429090585666678E-2</v>
          </cell>
          <cell r="O24">
            <v>14</v>
          </cell>
          <cell r="P24" t="str">
            <v xml:space="preserve">Total Top 20 </v>
          </cell>
          <cell r="Q24">
            <v>48.554799999999986</v>
          </cell>
          <cell r="S24">
            <v>2.5977593427630286E-2</v>
          </cell>
          <cell r="T24">
            <v>2.909232294409736E-2</v>
          </cell>
          <cell r="U24">
            <v>3.5429090585666678E-2</v>
          </cell>
          <cell r="X24" t="str">
            <v>ACV Sales Mix, 2010e</v>
          </cell>
          <cell r="Z24">
            <v>1.7001394378694816</v>
          </cell>
          <cell r="AB24" t="str">
            <v>Mix</v>
          </cell>
        </row>
        <row r="25">
          <cell r="B25">
            <v>14</v>
          </cell>
          <cell r="C25" t="str">
            <v>Existing ACV Top 20 Markets</v>
          </cell>
          <cell r="D25">
            <v>16.351900000000001</v>
          </cell>
          <cell r="E25">
            <v>16.987600000000004</v>
          </cell>
          <cell r="F25">
            <v>17.780000000000005</v>
          </cell>
          <cell r="G25">
            <v>18.2471</v>
          </cell>
          <cell r="H25">
            <v>18.3947</v>
          </cell>
          <cell r="I25">
            <v>18.341200000000001</v>
          </cell>
          <cell r="J25">
            <v>0</v>
          </cell>
          <cell r="K25">
            <v>-2.9084464546853539E-3</v>
          </cell>
          <cell r="L25">
            <v>1.0412390675867078E-2</v>
          </cell>
          <cell r="M25">
            <v>2.3226796011734052E-2</v>
          </cell>
          <cell r="N25" t="str">
            <v>b</v>
          </cell>
          <cell r="O25">
            <v>14</v>
          </cell>
          <cell r="P25" t="str">
            <v>Existing Markets</v>
          </cell>
          <cell r="Q25">
            <v>18.341200000000001</v>
          </cell>
          <cell r="S25">
            <v>-2.9084464546853539E-3</v>
          </cell>
          <cell r="T25">
            <v>1.0412390675867078E-2</v>
          </cell>
          <cell r="U25">
            <v>2.3226796011734052E-2</v>
          </cell>
          <cell r="W25">
            <v>0.29537084007697822</v>
          </cell>
          <cell r="X25" t="str">
            <v xml:space="preserve">International </v>
          </cell>
          <cell r="AA25">
            <v>659.08994700878736</v>
          </cell>
          <cell r="AB25">
            <v>0.41218603878874466</v>
          </cell>
        </row>
        <row r="26">
          <cell r="C26" t="str">
            <v>Remaining Top 20 Opportunity</v>
          </cell>
          <cell r="D26">
            <v>24.445299999999996</v>
          </cell>
          <cell r="E26">
            <v>25.343499999999988</v>
          </cell>
          <cell r="F26">
            <v>26.772199999999994</v>
          </cell>
          <cell r="G26">
            <v>28.108899999999995</v>
          </cell>
          <cell r="H26">
            <v>28.930700000000016</v>
          </cell>
          <cell r="I26">
            <v>30.213599999999985</v>
          </cell>
          <cell r="J26">
            <v>0</v>
          </cell>
          <cell r="K26">
            <v>4.4343897658887244E-2</v>
          </cell>
          <cell r="L26">
            <v>4.1132822562286453E-2</v>
          </cell>
          <cell r="M26">
            <v>4.3281294482141019E-2</v>
          </cell>
          <cell r="O26">
            <v>0</v>
          </cell>
          <cell r="P26" t="str">
            <v>Potential Markets</v>
          </cell>
          <cell r="Q26">
            <v>30.213599999999985</v>
          </cell>
          <cell r="S26">
            <v>4.4343897658887244E-2</v>
          </cell>
          <cell r="T26">
            <v>4.1132822562286453E-2</v>
          </cell>
          <cell r="U26">
            <v>4.3281294482141019E-2</v>
          </cell>
          <cell r="W26">
            <v>0.15966843295005179</v>
          </cell>
          <cell r="X26" t="str">
            <v>US</v>
          </cell>
          <cell r="AA26">
            <v>939.92089999999985</v>
          </cell>
          <cell r="AB26">
            <v>0.5878139612112554</v>
          </cell>
        </row>
        <row r="27">
          <cell r="B27">
            <v>15</v>
          </cell>
          <cell r="C27" t="str">
            <v>South Korea</v>
          </cell>
          <cell r="D27">
            <v>0.69120000000000004</v>
          </cell>
          <cell r="E27">
            <v>0.71350000000000002</v>
          </cell>
          <cell r="F27">
            <v>0.73970000000000002</v>
          </cell>
          <cell r="G27">
            <v>0.76029999999999998</v>
          </cell>
          <cell r="H27">
            <v>0.76819999999999999</v>
          </cell>
          <cell r="I27">
            <v>0.15452788104089218</v>
          </cell>
          <cell r="K27">
            <v>1.3277792241603636E-2</v>
          </cell>
          <cell r="L27">
            <v>1.7143909266567503E-2</v>
          </cell>
          <cell r="M27">
            <v>2.4046834795502958E-2</v>
          </cell>
          <cell r="O27">
            <v>15</v>
          </cell>
          <cell r="P27" t="str">
            <v>South Korea</v>
          </cell>
          <cell r="Q27">
            <v>0.77839999999999998</v>
          </cell>
          <cell r="S27">
            <v>1.3277792241603636E-2</v>
          </cell>
          <cell r="T27">
            <v>1.7143909266567503E-2</v>
          </cell>
          <cell r="U27">
            <v>2.4046834795502958E-2</v>
          </cell>
          <cell r="X27" t="str">
            <v xml:space="preserve">Total </v>
          </cell>
          <cell r="AA27">
            <v>1599.0108470087871</v>
          </cell>
        </row>
        <row r="28">
          <cell r="B28" t="str">
            <v xml:space="preserve">Source: Euromonitor and Morgan Stanley estimates. </v>
          </cell>
          <cell r="C28" t="str">
            <v>Argentina</v>
          </cell>
          <cell r="D28">
            <v>0.27639999999999998</v>
          </cell>
          <cell r="E28">
            <v>0.3372</v>
          </cell>
          <cell r="F28">
            <v>0.41060000000000002</v>
          </cell>
          <cell r="G28">
            <v>0.47799999999999998</v>
          </cell>
          <cell r="H28">
            <v>0.54630000000000001</v>
          </cell>
          <cell r="I28">
            <v>0.72739999999999994</v>
          </cell>
          <cell r="K28">
            <v>0.33150283726889973</v>
          </cell>
          <cell r="L28">
            <v>0.20999836615508594</v>
          </cell>
          <cell r="M28">
            <v>0.21352031652318493</v>
          </cell>
          <cell r="O28">
            <v>16</v>
          </cell>
          <cell r="P28" t="str">
            <v>Argentina</v>
          </cell>
          <cell r="Q28">
            <v>0.72739999999999994</v>
          </cell>
          <cell r="S28">
            <v>0.33150283726889973</v>
          </cell>
          <cell r="T28">
            <v>0.20999836615508594</v>
          </cell>
          <cell r="U28">
            <v>0.21352031652318493</v>
          </cell>
          <cell r="AA28" t="str">
            <v>5 New Intl Mkts</v>
          </cell>
          <cell r="AB28" t="str">
            <v>5 Additional Mkts</v>
          </cell>
          <cell r="AD28" t="str">
            <v>CAGR</v>
          </cell>
          <cell r="AG28" t="str">
            <v>Impact on Total ACV Topline</v>
          </cell>
        </row>
        <row r="29">
          <cell r="B29" t="str">
            <v xml:space="preserve">Note: Existing ACV markets in BOLD font. </v>
          </cell>
          <cell r="C29" t="str">
            <v>Netherlands</v>
          </cell>
          <cell r="D29">
            <v>0.68340000000000001</v>
          </cell>
          <cell r="E29">
            <v>0.6802999999999999</v>
          </cell>
          <cell r="F29">
            <v>0.67970000000000008</v>
          </cell>
          <cell r="G29">
            <v>0.68289999999999995</v>
          </cell>
          <cell r="H29">
            <v>0.6905</v>
          </cell>
          <cell r="I29">
            <v>0.70289999999999997</v>
          </cell>
          <cell r="K29">
            <v>1.7958001448225902E-2</v>
          </cell>
          <cell r="L29">
            <v>1.1250519667207248E-2</v>
          </cell>
          <cell r="M29">
            <v>5.6427194049946117E-3</v>
          </cell>
          <cell r="N29" t="str">
            <v>b</v>
          </cell>
          <cell r="O29">
            <v>17</v>
          </cell>
          <cell r="P29" t="str">
            <v>Netherlands</v>
          </cell>
          <cell r="Q29">
            <v>0.70289999999999997</v>
          </cell>
          <cell r="S29">
            <v>1.7958001448225902E-2</v>
          </cell>
          <cell r="T29">
            <v>1.1250519667207248E-2</v>
          </cell>
          <cell r="U29">
            <v>5.6427194049946117E-3</v>
          </cell>
          <cell r="AA29" t="str">
            <v>Through 2015</v>
          </cell>
          <cell r="AB29" t="str">
            <v>2015-19</v>
          </cell>
          <cell r="AD29" t="str">
            <v>5-Year</v>
          </cell>
          <cell r="AE29" t="str">
            <v>10-Year</v>
          </cell>
          <cell r="AG29" t="str">
            <v>5-Year</v>
          </cell>
          <cell r="AH29" t="str">
            <v>10-Year</v>
          </cell>
        </row>
        <row r="30">
          <cell r="B30">
            <v>18</v>
          </cell>
          <cell r="C30" t="str">
            <v>Australia</v>
          </cell>
          <cell r="D30">
            <v>0.62339999999999995</v>
          </cell>
          <cell r="E30">
            <v>0.64</v>
          </cell>
          <cell r="F30">
            <v>0.65500000000000003</v>
          </cell>
          <cell r="G30">
            <v>0.66720000000000002</v>
          </cell>
          <cell r="H30">
            <v>0.67979999999999996</v>
          </cell>
          <cell r="I30">
            <v>0.69240000000000002</v>
          </cell>
          <cell r="K30">
            <v>1.8534863195057483E-2</v>
          </cell>
          <cell r="L30">
            <v>1.8681892369496245E-2</v>
          </cell>
          <cell r="M30">
            <v>2.121703866865654E-2</v>
          </cell>
          <cell r="O30">
            <v>18</v>
          </cell>
          <cell r="P30" t="str">
            <v>Australia</v>
          </cell>
          <cell r="Q30">
            <v>0.69240000000000002</v>
          </cell>
          <cell r="S30">
            <v>1.8534863195057483E-2</v>
          </cell>
          <cell r="T30">
            <v>1.8681892369496245E-2</v>
          </cell>
          <cell r="U30">
            <v>2.121703866865654E-2</v>
          </cell>
          <cell r="X30" t="str">
            <v>Haircare Mix</v>
          </cell>
          <cell r="AA30">
            <v>0.7</v>
          </cell>
          <cell r="AB30">
            <v>0.7</v>
          </cell>
        </row>
        <row r="31">
          <cell r="C31" t="str">
            <v>North and Northeast China</v>
          </cell>
          <cell r="D31">
            <v>2004</v>
          </cell>
          <cell r="E31">
            <v>2005</v>
          </cell>
          <cell r="F31">
            <v>2006</v>
          </cell>
          <cell r="G31">
            <v>2007</v>
          </cell>
          <cell r="H31">
            <v>2008</v>
          </cell>
          <cell r="I31">
            <v>2009</v>
          </cell>
          <cell r="J31">
            <v>0</v>
          </cell>
          <cell r="K31" t="str">
            <v>1 Year</v>
          </cell>
          <cell r="L31" t="str">
            <v>3 Year</v>
          </cell>
          <cell r="M31" t="str">
            <v>5 Year</v>
          </cell>
          <cell r="O31">
            <v>0</v>
          </cell>
          <cell r="P31" t="str">
            <v>North and Northeast China</v>
          </cell>
          <cell r="Q31">
            <v>0.66149999999999998</v>
          </cell>
          <cell r="S31">
            <v>0.10415623435152721</v>
          </cell>
          <cell r="T31">
            <v>9.6550361733874546E-2</v>
          </cell>
          <cell r="U31">
            <v>7.9906843444450093E-2</v>
          </cell>
          <cell r="X31" t="str">
            <v>Estimated Intl. Haircare Sales</v>
          </cell>
          <cell r="AA31">
            <v>461.3629629061511</v>
          </cell>
          <cell r="AB31">
            <v>461.3629629061511</v>
          </cell>
        </row>
        <row r="32">
          <cell r="B32" t="str">
            <v>5 Year</v>
          </cell>
          <cell r="C32" t="str">
            <v>Five New Intl. Mkts</v>
          </cell>
          <cell r="D32">
            <v>11.394200000000001</v>
          </cell>
          <cell r="E32">
            <v>11.8438</v>
          </cell>
          <cell r="F32">
            <v>12.5083</v>
          </cell>
          <cell r="G32">
            <v>13.2401</v>
          </cell>
          <cell r="H32">
            <v>13.347000000000001</v>
          </cell>
          <cell r="I32">
            <v>14.119399999999999</v>
          </cell>
          <cell r="K32">
            <v>5.7870682550385633E-2</v>
          </cell>
          <cell r="L32">
            <v>4.1212366708409887E-2</v>
          </cell>
          <cell r="M32">
            <v>4.3822083514865939E-2</v>
          </cell>
          <cell r="O32">
            <v>19</v>
          </cell>
          <cell r="P32" t="str">
            <v>Turkey</v>
          </cell>
          <cell r="Q32">
            <v>0.64949999999999997</v>
          </cell>
          <cell r="S32">
            <v>8.4307178631051638E-2</v>
          </cell>
          <cell r="T32">
            <v>9.1112966946479412E-2</v>
          </cell>
          <cell r="U32">
            <v>7.453243159322076E-2</v>
          </cell>
          <cell r="X32" t="str">
            <v>Multiplier (below)</v>
          </cell>
          <cell r="AA32">
            <v>1.761468118816822</v>
          </cell>
          <cell r="AB32">
            <v>1.6992277655101864</v>
          </cell>
        </row>
        <row r="33">
          <cell r="B33" t="str">
            <v>10 Year</v>
          </cell>
          <cell r="C33" t="str">
            <v>Three Additional Mkts</v>
          </cell>
          <cell r="D33">
            <v>11.135400000000001</v>
          </cell>
          <cell r="E33">
            <v>11.528099999999998</v>
          </cell>
          <cell r="F33">
            <v>12.3049</v>
          </cell>
          <cell r="G33">
            <v>12.8028</v>
          </cell>
          <cell r="H33">
            <v>13.296399999999998</v>
          </cell>
          <cell r="I33">
            <v>13.6205</v>
          </cell>
          <cell r="J33">
            <v>0</v>
          </cell>
          <cell r="K33">
            <v>2.4375018802081927E-2</v>
          </cell>
          <cell r="L33">
            <v>3.4439241849031133E-2</v>
          </cell>
          <cell r="M33">
            <v>4.1111984263535239E-2</v>
          </cell>
          <cell r="N33" t="str">
            <v>a</v>
          </cell>
          <cell r="O33">
            <v>20</v>
          </cell>
          <cell r="P33" t="str">
            <v>Venezuela</v>
          </cell>
          <cell r="Q33">
            <v>0.60439999999999994</v>
          </cell>
          <cell r="S33">
            <v>0.26496442025952271</v>
          </cell>
          <cell r="T33">
            <v>0.28946569685950951</v>
          </cell>
          <cell r="U33">
            <v>0.32624677779989009</v>
          </cell>
          <cell r="W33" t="str">
            <v>v</v>
          </cell>
          <cell r="X33" t="str">
            <v>Pro-Forma Total Five New Mkt Opp.</v>
          </cell>
          <cell r="AA33">
            <v>812.67615036205314</v>
          </cell>
          <cell r="AB33">
            <v>783.9607565481781</v>
          </cell>
          <cell r="AF33" t="str">
            <v>Initial Five Mkts</v>
          </cell>
          <cell r="AG33">
            <v>197.74895940985019</v>
          </cell>
          <cell r="AH33">
            <v>240.59184541257403</v>
          </cell>
          <cell r="AL33" t="str">
            <v>Tranche1</v>
          </cell>
          <cell r="AN33">
            <v>0.04</v>
          </cell>
        </row>
        <row r="34">
          <cell r="C34" t="str">
            <v>Colombia</v>
          </cell>
          <cell r="D34">
            <v>0.38239999999999996</v>
          </cell>
          <cell r="E34">
            <v>0.4451</v>
          </cell>
          <cell r="F34">
            <v>0.45860000000000001</v>
          </cell>
          <cell r="G34">
            <v>0.4798</v>
          </cell>
          <cell r="H34">
            <v>0.54370000000000007</v>
          </cell>
          <cell r="I34">
            <v>0.5998</v>
          </cell>
          <cell r="K34">
            <v>0.10318190178407205</v>
          </cell>
          <cell r="L34">
            <v>9.3597403289360503E-2</v>
          </cell>
          <cell r="M34">
            <v>9.4202532397465122E-2</v>
          </cell>
          <cell r="O34">
            <v>0</v>
          </cell>
          <cell r="P34" t="str">
            <v>Colombia</v>
          </cell>
          <cell r="Q34">
            <v>0.5998</v>
          </cell>
          <cell r="S34">
            <v>0.10318190178407205</v>
          </cell>
          <cell r="T34">
            <v>9.3597403289360503E-2</v>
          </cell>
          <cell r="U34">
            <v>9.4202532397465122E-2</v>
          </cell>
          <cell r="X34" t="str">
            <v>Haircut</v>
          </cell>
          <cell r="AA34">
            <v>0.8</v>
          </cell>
          <cell r="AB34">
            <v>0.8</v>
          </cell>
          <cell r="AF34" t="str">
            <v>Second Five Mkts</v>
          </cell>
          <cell r="AG34" t="str">
            <v>na</v>
          </cell>
          <cell r="AH34">
            <v>210.71554029762115</v>
          </cell>
          <cell r="AL34">
            <v>32.507046014482121</v>
          </cell>
          <cell r="AN34">
            <v>1</v>
          </cell>
          <cell r="AO34">
            <v>2</v>
          </cell>
          <cell r="AP34">
            <v>3</v>
          </cell>
          <cell r="AQ34">
            <v>4</v>
          </cell>
          <cell r="AR34">
            <v>4</v>
          </cell>
          <cell r="AS34">
            <v>5</v>
          </cell>
        </row>
        <row r="35">
          <cell r="C35" t="str">
            <v>Existing ACV Top 20 Markets</v>
          </cell>
          <cell r="D35">
            <v>18.341200000000001</v>
          </cell>
          <cell r="E35">
            <v>0.56110000000000004</v>
          </cell>
          <cell r="F35">
            <v>0.57179999999999997</v>
          </cell>
          <cell r="G35">
            <v>0.58810000000000007</v>
          </cell>
          <cell r="H35">
            <v>0.59510000000000007</v>
          </cell>
          <cell r="I35">
            <v>0.59539999999999993</v>
          </cell>
          <cell r="K35">
            <v>5.041169551334157E-4</v>
          </cell>
          <cell r="L35">
            <v>1.3572673245808353E-2</v>
          </cell>
          <cell r="M35">
            <v>1.4738025522308851E-2</v>
          </cell>
          <cell r="O35">
            <v>0</v>
          </cell>
          <cell r="P35" t="str">
            <v>Greece</v>
          </cell>
          <cell r="Q35">
            <v>0.59539999999999993</v>
          </cell>
          <cell r="S35">
            <v>5.041169551334157E-4</v>
          </cell>
          <cell r="T35">
            <v>1.3572673245808353E-2</v>
          </cell>
          <cell r="U35">
            <v>1.4738025522308851E-2</v>
          </cell>
          <cell r="X35" t="str">
            <v xml:space="preserve">Adjusted Five New Mkt Opp. </v>
          </cell>
          <cell r="AA35">
            <v>162.5352300724106</v>
          </cell>
          <cell r="AB35">
            <v>156.79215130963559</v>
          </cell>
          <cell r="AD35">
            <v>197.74895940985019</v>
          </cell>
          <cell r="AE35">
            <v>451.30738571019515</v>
          </cell>
          <cell r="AF35" t="str">
            <v>Initial Five Mkts</v>
          </cell>
          <cell r="AG35">
            <v>2.3593979458366166E-2</v>
          </cell>
          <cell r="AH35">
            <v>1.4115131140601145E-2</v>
          </cell>
          <cell r="AN35">
            <v>33.807327855061409</v>
          </cell>
          <cell r="AO35">
            <v>35.159620969263869</v>
          </cell>
          <cell r="AP35">
            <v>36.566005808034419</v>
          </cell>
          <cell r="AR35">
            <v>38.028646040355802</v>
          </cell>
          <cell r="AS35">
            <v>39.549791881970037</v>
          </cell>
        </row>
        <row r="36">
          <cell r="C36" t="str">
            <v>Remaining Top 20 Opportunity</v>
          </cell>
          <cell r="D36">
            <v>30.213599999999985</v>
          </cell>
          <cell r="E36">
            <v>0.4249</v>
          </cell>
          <cell r="F36">
            <v>0.4446</v>
          </cell>
          <cell r="G36">
            <v>0.48160000000000003</v>
          </cell>
          <cell r="H36">
            <v>0.5363</v>
          </cell>
          <cell r="I36">
            <v>0.59079999999999999</v>
          </cell>
          <cell r="K36">
            <v>0.10162222636583995</v>
          </cell>
          <cell r="L36">
            <v>9.9403232165207633E-2</v>
          </cell>
          <cell r="M36">
            <v>8.2918211255563312E-2</v>
          </cell>
          <cell r="O36">
            <v>0</v>
          </cell>
          <cell r="P36" t="str">
            <v>South China</v>
          </cell>
          <cell r="Q36">
            <v>0.59079999999999999</v>
          </cell>
          <cell r="S36">
            <v>0.10162222636583995</v>
          </cell>
          <cell r="T36">
            <v>9.9403232165207633E-2</v>
          </cell>
          <cell r="U36">
            <v>8.2918211255563312E-2</v>
          </cell>
          <cell r="X36" t="str">
            <v xml:space="preserve">  CAGR Assumptions</v>
          </cell>
          <cell r="AF36" t="str">
            <v>Second Five</v>
          </cell>
          <cell r="AG36">
            <v>0</v>
          </cell>
          <cell r="AH36">
            <v>1.2455982436533564E-2</v>
          </cell>
          <cell r="AO36">
            <v>35.159620969263869</v>
          </cell>
          <cell r="AP36">
            <v>36.566005808034419</v>
          </cell>
          <cell r="AQ36">
            <v>0</v>
          </cell>
          <cell r="AR36">
            <v>38.028646040355802</v>
          </cell>
          <cell r="AS36">
            <v>39.549791881970037</v>
          </cell>
        </row>
        <row r="37">
          <cell r="C37" t="str">
            <v>Philippines</v>
          </cell>
          <cell r="D37">
            <v>0.4007</v>
          </cell>
          <cell r="E37">
            <v>0.43239999999999995</v>
          </cell>
          <cell r="F37">
            <v>0.46610000000000001</v>
          </cell>
          <cell r="G37">
            <v>0.502</v>
          </cell>
          <cell r="H37">
            <v>0.52229999999999999</v>
          </cell>
          <cell r="I37">
            <v>0.55870000000000009</v>
          </cell>
          <cell r="K37">
            <v>6.9691748037526535E-2</v>
          </cell>
          <cell r="L37">
            <v>6.2265775608907559E-2</v>
          </cell>
          <cell r="M37">
            <v>6.8739511868814773E-2</v>
          </cell>
          <cell r="O37">
            <v>0</v>
          </cell>
          <cell r="P37" t="str">
            <v>Philippines</v>
          </cell>
          <cell r="Q37">
            <v>0.55870000000000009</v>
          </cell>
          <cell r="S37">
            <v>6.9691748037526535E-2</v>
          </cell>
          <cell r="T37">
            <v>6.2265775608907559E-2</v>
          </cell>
          <cell r="U37">
            <v>6.8739511868814773E-2</v>
          </cell>
          <cell r="X37" t="str">
            <v xml:space="preserve">  5 New Mkts</v>
          </cell>
          <cell r="AD37">
            <v>0.04</v>
          </cell>
          <cell r="AE37">
            <v>0.04</v>
          </cell>
          <cell r="AF37" t="str">
            <v>Total Impact</v>
          </cell>
          <cell r="AG37">
            <v>2.3593979458366166E-2</v>
          </cell>
          <cell r="AH37">
            <v>2.6571113577134708E-2</v>
          </cell>
          <cell r="AP37">
            <v>36.566005808034419</v>
          </cell>
          <cell r="AR37">
            <v>38.028646040355802</v>
          </cell>
          <cell r="AS37">
            <v>39.549791881970037</v>
          </cell>
        </row>
        <row r="38">
          <cell r="C38" t="str">
            <v>Pro-Forma Top 20 Markets</v>
          </cell>
          <cell r="D38">
            <v>46.081099999999999</v>
          </cell>
          <cell r="E38">
            <v>0.44030000000000002</v>
          </cell>
          <cell r="F38">
            <v>0.46200000000000002</v>
          </cell>
          <cell r="G38">
            <v>0.4869</v>
          </cell>
          <cell r="H38">
            <v>0.51939999999999997</v>
          </cell>
          <cell r="I38">
            <v>0.55779999999999996</v>
          </cell>
          <cell r="K38">
            <v>7.3931459376203268E-2</v>
          </cell>
          <cell r="L38">
            <v>6.4826485389184452E-2</v>
          </cell>
          <cell r="M38">
            <v>6.3867037482912448E-2</v>
          </cell>
          <cell r="O38">
            <v>0</v>
          </cell>
          <cell r="P38" t="str">
            <v>Iran</v>
          </cell>
          <cell r="Q38">
            <v>0.55779999999999996</v>
          </cell>
          <cell r="S38">
            <v>7.3931459376203268E-2</v>
          </cell>
          <cell r="T38">
            <v>6.4826485389184452E-2</v>
          </cell>
          <cell r="U38">
            <v>6.3867037482912448E-2</v>
          </cell>
          <cell r="X38" t="str">
            <v xml:space="preserve">  5 Additional Markets</v>
          </cell>
          <cell r="AE38">
            <v>0.03</v>
          </cell>
          <cell r="AG38">
            <v>2.3593979458366166E-2</v>
          </cell>
          <cell r="AR38">
            <v>38.028646040355802</v>
          </cell>
          <cell r="AS38">
            <v>39.549791881970037</v>
          </cell>
        </row>
        <row r="39">
          <cell r="C39" t="str">
            <v>Remaining Top 20 Opportunity</v>
          </cell>
          <cell r="D39">
            <v>2.4736999999999867</v>
          </cell>
          <cell r="E39">
            <v>0.42060000000000003</v>
          </cell>
          <cell r="F39">
            <v>0.43939999999999996</v>
          </cell>
          <cell r="G39">
            <v>0.46989999999999998</v>
          </cell>
          <cell r="H39">
            <v>0.49369999999999997</v>
          </cell>
          <cell r="I39">
            <v>0.53210000000000002</v>
          </cell>
          <cell r="K39">
            <v>7.7780028357302022E-2</v>
          </cell>
          <cell r="L39">
            <v>6.5886762852346958E-2</v>
          </cell>
          <cell r="M39">
            <v>6.0008570389052274E-2</v>
          </cell>
          <cell r="O39">
            <v>0</v>
          </cell>
          <cell r="P39" t="str">
            <v>Mid China</v>
          </cell>
          <cell r="Q39">
            <v>0.53210000000000002</v>
          </cell>
          <cell r="S39">
            <v>7.7780028357302022E-2</v>
          </cell>
          <cell r="T39">
            <v>6.5886762852346958E-2</v>
          </cell>
          <cell r="U39">
            <v>6.0008570389052274E-2</v>
          </cell>
          <cell r="AA39" t="str">
            <v>5 New Mkts</v>
          </cell>
          <cell r="AB39" t="str">
            <v>5 Additonal Mkts</v>
          </cell>
          <cell r="AS39">
            <v>39.549791881970037</v>
          </cell>
        </row>
        <row r="40">
          <cell r="C40" t="str">
            <v>Thailand</v>
          </cell>
          <cell r="D40">
            <v>0.41370000000000001</v>
          </cell>
          <cell r="E40">
            <v>0.43789999999999996</v>
          </cell>
          <cell r="F40">
            <v>0.45779999999999998</v>
          </cell>
          <cell r="G40">
            <v>0.47889999999999999</v>
          </cell>
          <cell r="H40">
            <v>0.50270000000000004</v>
          </cell>
          <cell r="I40">
            <v>0.52929999999999999</v>
          </cell>
          <cell r="O40">
            <v>0</v>
          </cell>
          <cell r="P40" t="str">
            <v>Thailand</v>
          </cell>
          <cell r="Q40">
            <v>0.52929999999999999</v>
          </cell>
          <cell r="S40">
            <v>0</v>
          </cell>
          <cell r="T40">
            <v>0</v>
          </cell>
          <cell r="U40">
            <v>0</v>
          </cell>
          <cell r="X40" t="str">
            <v>Existing Intl. Mkts</v>
          </cell>
          <cell r="AA40">
            <v>8.0156999999999989</v>
          </cell>
          <cell r="AB40">
            <v>8.0156999999999989</v>
          </cell>
          <cell r="AD40">
            <v>1.4999999999999999E-2</v>
          </cell>
          <cell r="AE40">
            <v>0.01</v>
          </cell>
          <cell r="AF40">
            <v>8.6351853899359785</v>
          </cell>
          <cell r="AG40">
            <v>8.8543195706585927</v>
          </cell>
          <cell r="AN40">
            <v>33.807327855061409</v>
          </cell>
          <cell r="AO40">
            <v>70.319241938527739</v>
          </cell>
          <cell r="AP40">
            <v>109.69801742410326</v>
          </cell>
          <cell r="AQ40">
            <v>0</v>
          </cell>
          <cell r="AR40">
            <v>152.11458416142321</v>
          </cell>
          <cell r="AS40">
            <v>197.74895940985019</v>
          </cell>
        </row>
        <row r="41">
          <cell r="C41" t="str">
            <v>Denmark</v>
          </cell>
          <cell r="D41">
            <v>0.36449999999999999</v>
          </cell>
          <cell r="E41">
            <v>0.37589999999999996</v>
          </cell>
          <cell r="F41">
            <v>0.38439999999999996</v>
          </cell>
          <cell r="G41">
            <v>0.4118</v>
          </cell>
          <cell r="H41">
            <v>0.44939999999999997</v>
          </cell>
          <cell r="I41">
            <v>0.46679999999999999</v>
          </cell>
          <cell r="O41">
            <v>0</v>
          </cell>
          <cell r="P41" t="str">
            <v>Denmark</v>
          </cell>
          <cell r="Q41">
            <v>0.46679999999999999</v>
          </cell>
          <cell r="S41">
            <v>0</v>
          </cell>
          <cell r="T41">
            <v>0</v>
          </cell>
          <cell r="U41">
            <v>0</v>
          </cell>
          <cell r="X41" t="str">
            <v>Select Mkts</v>
          </cell>
          <cell r="AA41">
            <v>14.119399999999999</v>
          </cell>
          <cell r="AB41">
            <v>13.6205</v>
          </cell>
          <cell r="AD41">
            <v>2.75E-2</v>
          </cell>
          <cell r="AE41">
            <v>3.7499999999999999E-2</v>
          </cell>
          <cell r="AF41">
            <v>16.170572453950619</v>
          </cell>
          <cell r="AG41">
            <v>40.085374464185179</v>
          </cell>
        </row>
        <row r="42">
          <cell r="C42" t="str">
            <v>Sweden</v>
          </cell>
          <cell r="D42">
            <v>0.44189999999999996</v>
          </cell>
          <cell r="E42">
            <v>0.41849999999999998</v>
          </cell>
          <cell r="F42">
            <v>0.44600000000000001</v>
          </cell>
          <cell r="G42">
            <v>0.45760000000000001</v>
          </cell>
          <cell r="H42">
            <v>0.47289999999999999</v>
          </cell>
          <cell r="I42">
            <v>0.4647</v>
          </cell>
          <cell r="O42">
            <v>0</v>
          </cell>
          <cell r="P42" t="str">
            <v>Sweden</v>
          </cell>
          <cell r="Q42">
            <v>0.4647</v>
          </cell>
          <cell r="S42">
            <v>0</v>
          </cell>
          <cell r="T42">
            <v>0</v>
          </cell>
          <cell r="U42">
            <v>0</v>
          </cell>
          <cell r="X42" t="str">
            <v>Multiplier</v>
          </cell>
          <cell r="AA42">
            <v>1.761468118816822</v>
          </cell>
          <cell r="AB42">
            <v>1.6992277655101864</v>
          </cell>
          <cell r="AF42">
            <v>1.8726375548111431</v>
          </cell>
          <cell r="AG42">
            <v>4.5272111701298794</v>
          </cell>
        </row>
        <row r="43">
          <cell r="C43" t="str">
            <v>Indonesia</v>
          </cell>
          <cell r="D43">
            <v>0.32169999999999999</v>
          </cell>
          <cell r="E43">
            <v>0.33329999999999999</v>
          </cell>
          <cell r="F43">
            <v>0.35520000000000002</v>
          </cell>
          <cell r="G43">
            <v>0.38369999999999999</v>
          </cell>
          <cell r="H43">
            <v>0.41689999999999999</v>
          </cell>
          <cell r="I43">
            <v>0.46400000000000002</v>
          </cell>
          <cell r="O43">
            <v>0</v>
          </cell>
          <cell r="P43" t="str">
            <v>Indonesia</v>
          </cell>
          <cell r="Q43">
            <v>0.46400000000000002</v>
          </cell>
          <cell r="S43">
            <v>0</v>
          </cell>
          <cell r="T43">
            <v>0</v>
          </cell>
          <cell r="U43">
            <v>0</v>
          </cell>
          <cell r="AF43">
            <v>0.19999999999999996</v>
          </cell>
          <cell r="AG43">
            <v>0.19999999999999996</v>
          </cell>
        </row>
        <row r="44">
          <cell r="C44" t="str">
            <v>Southwest China</v>
          </cell>
          <cell r="D44">
            <v>0.29339999999999999</v>
          </cell>
          <cell r="E44">
            <v>0.3206</v>
          </cell>
          <cell r="F44">
            <v>0.34489999999999998</v>
          </cell>
          <cell r="G44">
            <v>0.37919999999999998</v>
          </cell>
          <cell r="H44">
            <v>0.4199</v>
          </cell>
          <cell r="I44">
            <v>0.45729999999999998</v>
          </cell>
          <cell r="O44">
            <v>0</v>
          </cell>
          <cell r="P44" t="str">
            <v>Southwest China</v>
          </cell>
          <cell r="Q44">
            <v>0.45729999999999998</v>
          </cell>
          <cell r="S44">
            <v>0</v>
          </cell>
          <cell r="T44">
            <v>0</v>
          </cell>
          <cell r="U44">
            <v>0</v>
          </cell>
          <cell r="X44" t="str">
            <v xml:space="preserve">SUMMARY FOR INITIATION </v>
          </cell>
          <cell r="AF44">
            <v>172.79312214739974</v>
          </cell>
          <cell r="AG44">
            <v>417.73751183058874</v>
          </cell>
        </row>
        <row r="45">
          <cell r="C45" t="str">
            <v>South Africa</v>
          </cell>
          <cell r="D45">
            <v>0.31739999999999996</v>
          </cell>
          <cell r="E45">
            <v>0.34229999999999999</v>
          </cell>
          <cell r="F45">
            <v>0.35830000000000001</v>
          </cell>
          <cell r="G45">
            <v>0.39100000000000001</v>
          </cell>
          <cell r="H45">
            <v>0.42719999999999997</v>
          </cell>
          <cell r="I45">
            <v>0.45639999999999997</v>
          </cell>
          <cell r="O45">
            <v>0</v>
          </cell>
          <cell r="P45" t="str">
            <v>South Africa</v>
          </cell>
          <cell r="Q45">
            <v>0.45639999999999997</v>
          </cell>
          <cell r="S45">
            <v>0</v>
          </cell>
          <cell r="T45">
            <v>0</v>
          </cell>
          <cell r="U45">
            <v>0</v>
          </cell>
          <cell r="X45" t="str">
            <v>ACV International Sales - FY09E</v>
          </cell>
          <cell r="Y45">
            <v>659.08994700878736</v>
          </cell>
          <cell r="AF45">
            <v>2.0734636937908224E-2</v>
          </cell>
          <cell r="AG45">
            <v>2.3481578437835049E-2</v>
          </cell>
        </row>
        <row r="46">
          <cell r="C46" t="str">
            <v>Chile</v>
          </cell>
          <cell r="D46">
            <v>0.31430000000000002</v>
          </cell>
          <cell r="E46">
            <v>0.33529999999999999</v>
          </cell>
          <cell r="F46">
            <v>0.36519999999999997</v>
          </cell>
          <cell r="G46">
            <v>0.39100000000000001</v>
          </cell>
          <cell r="H46">
            <v>0.40239999999999998</v>
          </cell>
          <cell r="I46">
            <v>0.44219999999999998</v>
          </cell>
          <cell r="O46">
            <v>0</v>
          </cell>
          <cell r="P46" t="str">
            <v>Chile</v>
          </cell>
          <cell r="Q46">
            <v>0.44219999999999998</v>
          </cell>
          <cell r="S46">
            <v>0</v>
          </cell>
          <cell r="T46">
            <v>0</v>
          </cell>
          <cell r="U46">
            <v>0</v>
          </cell>
          <cell r="X46" t="str">
            <v>Estimated Haircare Mix</v>
          </cell>
          <cell r="Y46">
            <v>0.7</v>
          </cell>
        </row>
        <row r="47">
          <cell r="C47" t="str">
            <v>Ukraine</v>
          </cell>
          <cell r="D47">
            <v>0.1915</v>
          </cell>
          <cell r="E47">
            <v>0.2266</v>
          </cell>
          <cell r="F47">
            <v>0.27600000000000002</v>
          </cell>
          <cell r="G47">
            <v>0.31710000000000005</v>
          </cell>
          <cell r="H47">
            <v>0.37039999999999995</v>
          </cell>
          <cell r="I47">
            <v>0.44080000000000003</v>
          </cell>
          <cell r="O47">
            <v>0</v>
          </cell>
          <cell r="P47" t="str">
            <v>Ukraine</v>
          </cell>
          <cell r="Q47">
            <v>0.44080000000000003</v>
          </cell>
          <cell r="S47">
            <v>0</v>
          </cell>
          <cell r="T47">
            <v>0</v>
          </cell>
          <cell r="U47">
            <v>0</v>
          </cell>
          <cell r="X47" t="str">
            <v>ACV Haircare Sales - FY09E</v>
          </cell>
          <cell r="Y47">
            <v>461.3629629061511</v>
          </cell>
          <cell r="AF47">
            <v>863.96561073699888</v>
          </cell>
          <cell r="AG47">
            <v>2088.6875591529442</v>
          </cell>
        </row>
        <row r="48">
          <cell r="C48" t="str">
            <v>Norway</v>
          </cell>
          <cell r="D48">
            <v>0.32639999999999997</v>
          </cell>
          <cell r="E48">
            <v>0.33860000000000001</v>
          </cell>
          <cell r="F48">
            <v>0.3503</v>
          </cell>
          <cell r="G48">
            <v>0.36910000000000004</v>
          </cell>
          <cell r="H48">
            <v>0.39180000000000004</v>
          </cell>
          <cell r="I48">
            <v>0.41349999999999998</v>
          </cell>
          <cell r="O48">
            <v>0</v>
          </cell>
          <cell r="P48" t="str">
            <v>Norway</v>
          </cell>
          <cell r="Q48">
            <v>0.41349999999999998</v>
          </cell>
          <cell r="S48">
            <v>0</v>
          </cell>
          <cell r="T48">
            <v>0</v>
          </cell>
          <cell r="U48">
            <v>0</v>
          </cell>
          <cell r="X48" t="str">
            <v xml:space="preserve">  Multiplier - 5 Additional Markets (Years 1-5)</v>
          </cell>
          <cell r="Y48">
            <v>1.761468118816822</v>
          </cell>
          <cell r="AF48">
            <v>172.79312214739974</v>
          </cell>
          <cell r="AG48">
            <v>417.73751183058874</v>
          </cell>
        </row>
        <row r="49">
          <cell r="C49" t="str">
            <v>West India</v>
          </cell>
          <cell r="D49">
            <v>0.24559999999999998</v>
          </cell>
          <cell r="E49">
            <v>0.26219999999999999</v>
          </cell>
          <cell r="F49">
            <v>0.28710000000000002</v>
          </cell>
          <cell r="G49">
            <v>0.31630000000000003</v>
          </cell>
          <cell r="H49">
            <v>0.35199999999999998</v>
          </cell>
          <cell r="I49">
            <v>0.38969999999999999</v>
          </cell>
          <cell r="O49">
            <v>0</v>
          </cell>
          <cell r="P49" t="str">
            <v>West India</v>
          </cell>
          <cell r="Q49">
            <v>0.38969999999999999</v>
          </cell>
          <cell r="S49">
            <v>0</v>
          </cell>
          <cell r="T49">
            <v>0</v>
          </cell>
          <cell r="U49">
            <v>0</v>
          </cell>
          <cell r="X49" t="str">
            <v xml:space="preserve">  Multiplier - 4 Additional Markets (Years 6-10)</v>
          </cell>
          <cell r="Y49">
            <v>1.6992277655101864</v>
          </cell>
        </row>
        <row r="50">
          <cell r="C50" t="str">
            <v>Portugal</v>
          </cell>
          <cell r="D50">
            <v>0.34539999999999998</v>
          </cell>
          <cell r="E50">
            <v>0.3614</v>
          </cell>
          <cell r="F50">
            <v>0.36699999999999999</v>
          </cell>
          <cell r="G50">
            <v>0.37339999999999995</v>
          </cell>
          <cell r="H50">
            <v>0.3785</v>
          </cell>
          <cell r="I50">
            <v>0.38</v>
          </cell>
          <cell r="O50">
            <v>0</v>
          </cell>
          <cell r="P50" t="str">
            <v>Portugal</v>
          </cell>
          <cell r="Q50">
            <v>0.38</v>
          </cell>
          <cell r="S50">
            <v>0</v>
          </cell>
          <cell r="T50">
            <v>0</v>
          </cell>
          <cell r="U50">
            <v>0</v>
          </cell>
          <cell r="X50" t="str">
            <v>Market Opportunity ($)1</v>
          </cell>
        </row>
        <row r="51">
          <cell r="C51" t="str">
            <v>Taiwan</v>
          </cell>
          <cell r="D51">
            <v>0.30919999999999997</v>
          </cell>
          <cell r="E51">
            <v>0.3276</v>
          </cell>
          <cell r="F51">
            <v>0.34849999999999998</v>
          </cell>
          <cell r="G51">
            <v>0.36839999999999995</v>
          </cell>
          <cell r="H51">
            <v>0.38639999999999997</v>
          </cell>
          <cell r="I51">
            <v>0.372</v>
          </cell>
          <cell r="O51">
            <v>0</v>
          </cell>
          <cell r="P51" t="str">
            <v>Taiwan</v>
          </cell>
          <cell r="Q51">
            <v>0.372</v>
          </cell>
          <cell r="S51">
            <v>0</v>
          </cell>
          <cell r="T51">
            <v>0</v>
          </cell>
          <cell r="U51">
            <v>0</v>
          </cell>
          <cell r="X51" t="str">
            <v xml:space="preserve">  First 5 Additional Markets (Years 1-5)2</v>
          </cell>
          <cell r="Y51">
            <v>162.5352300724106</v>
          </cell>
        </row>
        <row r="52">
          <cell r="C52" t="str">
            <v>Peru</v>
          </cell>
          <cell r="D52">
            <v>0.22269999999999998</v>
          </cell>
          <cell r="E52">
            <v>0.23519999999999999</v>
          </cell>
          <cell r="F52">
            <v>0.25490000000000002</v>
          </cell>
          <cell r="G52">
            <v>0.30019999999999997</v>
          </cell>
          <cell r="H52">
            <v>0.33579999999999999</v>
          </cell>
          <cell r="I52">
            <v>0.36869999999999997</v>
          </cell>
          <cell r="O52">
            <v>0</v>
          </cell>
          <cell r="P52" t="str">
            <v>Peru</v>
          </cell>
          <cell r="Q52">
            <v>0.36869999999999997</v>
          </cell>
          <cell r="S52">
            <v>0</v>
          </cell>
          <cell r="T52">
            <v>0</v>
          </cell>
          <cell r="U52">
            <v>0</v>
          </cell>
          <cell r="X52" t="str">
            <v xml:space="preserve">  Second 4 Additional Markets (Years 6-10)3</v>
          </cell>
          <cell r="Y52">
            <v>156.79215130963559</v>
          </cell>
        </row>
        <row r="53">
          <cell r="C53" t="str">
            <v>Belgium</v>
          </cell>
          <cell r="D53">
            <v>0.34029999999999999</v>
          </cell>
          <cell r="E53">
            <v>0.34429999999999999</v>
          </cell>
          <cell r="F53">
            <v>0.34339999999999998</v>
          </cell>
          <cell r="G53">
            <v>0.34520000000000001</v>
          </cell>
          <cell r="H53">
            <v>0.35320000000000001</v>
          </cell>
          <cell r="I53">
            <v>0.3609</v>
          </cell>
          <cell r="O53">
            <v>0</v>
          </cell>
          <cell r="P53" t="str">
            <v>Belgium</v>
          </cell>
          <cell r="Q53">
            <v>0.3609</v>
          </cell>
          <cell r="S53">
            <v>0</v>
          </cell>
          <cell r="T53">
            <v>0</v>
          </cell>
          <cell r="U53">
            <v>0</v>
          </cell>
          <cell r="X53" t="str">
            <v>MS Estimated Market CAGR</v>
          </cell>
        </row>
        <row r="54">
          <cell r="C54" t="str">
            <v>South India</v>
          </cell>
          <cell r="D54">
            <v>0.21199999999999999</v>
          </cell>
          <cell r="E54">
            <v>0.22839999999999999</v>
          </cell>
          <cell r="F54">
            <v>0.2525</v>
          </cell>
          <cell r="G54">
            <v>0.28210000000000002</v>
          </cell>
          <cell r="H54">
            <v>0.31580000000000003</v>
          </cell>
          <cell r="I54">
            <v>0.3508</v>
          </cell>
          <cell r="O54">
            <v>0</v>
          </cell>
          <cell r="P54" t="str">
            <v>South India</v>
          </cell>
          <cell r="Q54">
            <v>0.3508</v>
          </cell>
          <cell r="S54">
            <v>0</v>
          </cell>
          <cell r="T54">
            <v>0</v>
          </cell>
          <cell r="U54">
            <v>0</v>
          </cell>
          <cell r="X54" t="str">
            <v xml:space="preserve">  First 5 Additional Markets (Years 1-5)2</v>
          </cell>
          <cell r="Y54">
            <v>0.04</v>
          </cell>
        </row>
        <row r="55">
          <cell r="C55" t="str">
            <v>Czech Republic</v>
          </cell>
          <cell r="D55">
            <v>0.28439999999999999</v>
          </cell>
          <cell r="E55">
            <v>0.29869999999999997</v>
          </cell>
          <cell r="F55">
            <v>0.31119999999999998</v>
          </cell>
          <cell r="G55">
            <v>0.31889999999999996</v>
          </cell>
          <cell r="H55">
            <v>0.33039999999999997</v>
          </cell>
          <cell r="I55">
            <v>0.34029999999999999</v>
          </cell>
          <cell r="O55">
            <v>0</v>
          </cell>
          <cell r="P55" t="str">
            <v>Czech Republic</v>
          </cell>
          <cell r="Q55">
            <v>0.34029999999999999</v>
          </cell>
          <cell r="S55">
            <v>0</v>
          </cell>
          <cell r="T55">
            <v>0</v>
          </cell>
          <cell r="U55">
            <v>0</v>
          </cell>
          <cell r="X55" t="str">
            <v xml:space="preserve">  Second 4 Additional Markets (Years 6-10)3</v>
          </cell>
          <cell r="Y55">
            <v>0.03</v>
          </cell>
        </row>
        <row r="56">
          <cell r="C56" t="str">
            <v>Saudi Arabia</v>
          </cell>
          <cell r="D56">
            <v>0.24259999999999998</v>
          </cell>
          <cell r="E56">
            <v>0.25390000000000001</v>
          </cell>
          <cell r="F56">
            <v>0.26619999999999999</v>
          </cell>
          <cell r="G56">
            <v>0.28270000000000001</v>
          </cell>
          <cell r="H56">
            <v>0.30269999999999997</v>
          </cell>
          <cell r="I56">
            <v>0.32989999999999997</v>
          </cell>
          <cell r="O56">
            <v>0</v>
          </cell>
          <cell r="P56" t="str">
            <v>Saudi Arabia</v>
          </cell>
          <cell r="Q56">
            <v>0.32989999999999997</v>
          </cell>
          <cell r="S56">
            <v>0</v>
          </cell>
          <cell r="T56">
            <v>0</v>
          </cell>
          <cell r="U56">
            <v>0</v>
          </cell>
          <cell r="X56" t="str">
            <v>Impact on Total ACV Topline</v>
          </cell>
        </row>
        <row r="57">
          <cell r="C57" t="str">
            <v>Switzerland</v>
          </cell>
          <cell r="D57">
            <v>0.2702</v>
          </cell>
          <cell r="E57">
            <v>0.27679999999999999</v>
          </cell>
          <cell r="F57">
            <v>0.27500000000000002</v>
          </cell>
          <cell r="G57">
            <v>0.27800000000000002</v>
          </cell>
          <cell r="H57">
            <v>0.29649999999999999</v>
          </cell>
          <cell r="I57">
            <v>0.31080000000000002</v>
          </cell>
          <cell r="O57">
            <v>0</v>
          </cell>
          <cell r="P57" t="str">
            <v>Switzerland</v>
          </cell>
          <cell r="Q57">
            <v>0.31080000000000002</v>
          </cell>
          <cell r="S57">
            <v>0</v>
          </cell>
          <cell r="T57">
            <v>0</v>
          </cell>
          <cell r="U57">
            <v>0</v>
          </cell>
          <cell r="X57" t="str">
            <v xml:space="preserve">  5-Year2</v>
          </cell>
          <cell r="Y57">
            <v>2.3593979458366166E-2</v>
          </cell>
        </row>
        <row r="58">
          <cell r="C58" t="str">
            <v>Austria</v>
          </cell>
          <cell r="D58">
            <v>0.28339999999999999</v>
          </cell>
          <cell r="E58">
            <v>0.28599999999999998</v>
          </cell>
          <cell r="F58">
            <v>0.29239999999999999</v>
          </cell>
          <cell r="G58">
            <v>0.30049999999999999</v>
          </cell>
          <cell r="H58">
            <v>0.30569999999999997</v>
          </cell>
          <cell r="I58">
            <v>0.307</v>
          </cell>
          <cell r="O58">
            <v>0</v>
          </cell>
          <cell r="P58" t="str">
            <v>Austria</v>
          </cell>
          <cell r="Q58">
            <v>0.307</v>
          </cell>
          <cell r="S58">
            <v>0</v>
          </cell>
          <cell r="T58">
            <v>0</v>
          </cell>
          <cell r="U58">
            <v>0</v>
          </cell>
          <cell r="X58" t="str">
            <v xml:space="preserve">  10-Year2,3</v>
          </cell>
          <cell r="Y58">
            <v>1.4115131140601145E-2</v>
          </cell>
        </row>
        <row r="59">
          <cell r="C59" t="str">
            <v>North India</v>
          </cell>
          <cell r="D59">
            <v>0.16340000000000002</v>
          </cell>
          <cell r="E59">
            <v>0.17849999999999999</v>
          </cell>
          <cell r="F59">
            <v>0.19889999999999999</v>
          </cell>
          <cell r="G59">
            <v>0.22440000000000002</v>
          </cell>
          <cell r="H59">
            <v>0.254</v>
          </cell>
          <cell r="I59">
            <v>0.2858</v>
          </cell>
          <cell r="O59">
            <v>0</v>
          </cell>
          <cell r="P59" t="str">
            <v>North India</v>
          </cell>
          <cell r="Q59">
            <v>0.2858</v>
          </cell>
          <cell r="S59">
            <v>0</v>
          </cell>
          <cell r="T59">
            <v>0</v>
          </cell>
          <cell r="U59">
            <v>0</v>
          </cell>
          <cell r="X59" t="str">
            <v>*Includes 75% Haircut</v>
          </cell>
        </row>
        <row r="60">
          <cell r="C60" t="str">
            <v>East and Northeast India</v>
          </cell>
          <cell r="D60">
            <v>0.15280000000000002</v>
          </cell>
          <cell r="E60">
            <v>0.16589999999999999</v>
          </cell>
          <cell r="F60">
            <v>0.18409999999999999</v>
          </cell>
          <cell r="G60">
            <v>0.20710000000000001</v>
          </cell>
          <cell r="H60">
            <v>0.23150000000000001</v>
          </cell>
          <cell r="I60">
            <v>0.25769999999999998</v>
          </cell>
          <cell r="O60">
            <v>0</v>
          </cell>
          <cell r="P60" t="str">
            <v>East and Northeast India</v>
          </cell>
          <cell r="Q60">
            <v>0.25769999999999998</v>
          </cell>
          <cell r="S60">
            <v>0</v>
          </cell>
          <cell r="T60">
            <v>0</v>
          </cell>
          <cell r="U60">
            <v>0</v>
          </cell>
          <cell r="X60" t="str">
            <v xml:space="preserve">SUMMARY FOR INITIATION </v>
          </cell>
        </row>
        <row r="61">
          <cell r="C61" t="str">
            <v>Israel</v>
          </cell>
          <cell r="D61">
            <v>0.1875</v>
          </cell>
          <cell r="E61">
            <v>0.19619999999999999</v>
          </cell>
          <cell r="F61">
            <v>0.20599999999999999</v>
          </cell>
          <cell r="G61">
            <v>0.2145</v>
          </cell>
          <cell r="H61">
            <v>0.22409999999999999</v>
          </cell>
          <cell r="I61">
            <v>0.22309999999999999</v>
          </cell>
          <cell r="O61">
            <v>0</v>
          </cell>
          <cell r="P61" t="str">
            <v>Israel</v>
          </cell>
          <cell r="Q61">
            <v>0.22309999999999999</v>
          </cell>
          <cell r="S61">
            <v>0</v>
          </cell>
          <cell r="T61">
            <v>0</v>
          </cell>
          <cell r="U61">
            <v>0</v>
          </cell>
          <cell r="Y61" t="str">
            <v>1-5 Year</v>
          </cell>
          <cell r="Z61" t="str">
            <v>6-10 Year</v>
          </cell>
        </row>
        <row r="62">
          <cell r="C62" t="str">
            <v>Malaysia</v>
          </cell>
          <cell r="D62">
            <v>0.1716</v>
          </cell>
          <cell r="E62">
            <v>0.18109999999999998</v>
          </cell>
          <cell r="F62">
            <v>0.18959999999999999</v>
          </cell>
          <cell r="G62">
            <v>0.19839999999999999</v>
          </cell>
          <cell r="H62">
            <v>0.20599999999999999</v>
          </cell>
          <cell r="I62">
            <v>0.21559999999999999</v>
          </cell>
          <cell r="O62">
            <v>0</v>
          </cell>
          <cell r="P62" t="str">
            <v>Malaysia</v>
          </cell>
          <cell r="Q62">
            <v>0.21559999999999999</v>
          </cell>
          <cell r="S62">
            <v>0</v>
          </cell>
          <cell r="T62">
            <v>0</v>
          </cell>
          <cell r="U62">
            <v>0</v>
          </cell>
          <cell r="X62" t="str">
            <v>(a) ACV International Sales - FY09E</v>
          </cell>
          <cell r="Y62">
            <v>659.08994700878736</v>
          </cell>
          <cell r="Z62">
            <v>659.08994700878736</v>
          </cell>
        </row>
        <row r="63">
          <cell r="C63" t="str">
            <v>Finland</v>
          </cell>
          <cell r="D63">
            <v>0.189</v>
          </cell>
          <cell r="E63">
            <v>0.19259999999999999</v>
          </cell>
          <cell r="F63">
            <v>0.19719999999999999</v>
          </cell>
          <cell r="G63">
            <v>0.2044</v>
          </cell>
          <cell r="H63">
            <v>0.21159999999999998</v>
          </cell>
          <cell r="I63">
            <v>0.21509999999999999</v>
          </cell>
          <cell r="O63">
            <v>0</v>
          </cell>
          <cell r="P63" t="str">
            <v>Finland</v>
          </cell>
          <cell r="Q63">
            <v>0.21509999999999999</v>
          </cell>
          <cell r="S63">
            <v>0</v>
          </cell>
          <cell r="T63">
            <v>0</v>
          </cell>
          <cell r="U63">
            <v>0</v>
          </cell>
          <cell r="X63" t="str">
            <v>(b) Estimated Haircare Mix</v>
          </cell>
          <cell r="Y63">
            <v>0.7</v>
          </cell>
          <cell r="Z63">
            <v>0.7</v>
          </cell>
        </row>
        <row r="64">
          <cell r="C64" t="str">
            <v>Northwest China</v>
          </cell>
          <cell r="D64">
            <v>0.15859999999999999</v>
          </cell>
          <cell r="E64">
            <v>0.16930000000000001</v>
          </cell>
          <cell r="F64">
            <v>0.17599999999999999</v>
          </cell>
          <cell r="G64">
            <v>0.18719999999999998</v>
          </cell>
          <cell r="H64">
            <v>0.1961</v>
          </cell>
          <cell r="I64">
            <v>0.20760000000000001</v>
          </cell>
          <cell r="O64">
            <v>0</v>
          </cell>
          <cell r="P64" t="str">
            <v>Northwest China</v>
          </cell>
          <cell r="Q64">
            <v>0.20760000000000001</v>
          </cell>
          <cell r="S64">
            <v>0</v>
          </cell>
          <cell r="T64">
            <v>0</v>
          </cell>
          <cell r="U64">
            <v>0</v>
          </cell>
          <cell r="X64" t="str">
            <v>(c) ACV Haircare Sales - FY09E ( a x b)</v>
          </cell>
          <cell r="Y64">
            <v>461.3629629061511</v>
          </cell>
          <cell r="Z64">
            <v>461.3629629061511</v>
          </cell>
        </row>
        <row r="65">
          <cell r="C65" t="str">
            <v>Hungary</v>
          </cell>
          <cell r="D65">
            <v>0.16719999999999999</v>
          </cell>
          <cell r="E65">
            <v>0.1804</v>
          </cell>
          <cell r="F65">
            <v>0.19059999999999999</v>
          </cell>
          <cell r="G65">
            <v>0.19409999999999999</v>
          </cell>
          <cell r="H65">
            <v>0.20030000000000001</v>
          </cell>
          <cell r="I65">
            <v>0.20430000000000001</v>
          </cell>
          <cell r="O65">
            <v>0</v>
          </cell>
          <cell r="P65" t="str">
            <v>Hungary</v>
          </cell>
          <cell r="Q65">
            <v>0.20430000000000001</v>
          </cell>
          <cell r="S65">
            <v>0</v>
          </cell>
          <cell r="T65">
            <v>0</v>
          </cell>
          <cell r="U65">
            <v>0</v>
          </cell>
          <cell r="X65" t="str">
            <v>(d) Adjusting for Market Sizes1,2</v>
          </cell>
          <cell r="Y65">
            <v>1.761468118816822</v>
          </cell>
          <cell r="Z65">
            <v>1.6992277655101864</v>
          </cell>
        </row>
        <row r="66">
          <cell r="C66" t="str">
            <v>Ireland</v>
          </cell>
          <cell r="D66">
            <v>0.1696</v>
          </cell>
          <cell r="E66">
            <v>0.17710000000000001</v>
          </cell>
          <cell r="F66">
            <v>0.18759999999999999</v>
          </cell>
          <cell r="G66">
            <v>0.19219999999999998</v>
          </cell>
          <cell r="H66">
            <v>0.1978</v>
          </cell>
          <cell r="I66">
            <v>0.2016</v>
          </cell>
          <cell r="O66">
            <v>0</v>
          </cell>
          <cell r="P66" t="str">
            <v>Ireland</v>
          </cell>
          <cell r="Q66">
            <v>0.2016</v>
          </cell>
          <cell r="S66">
            <v>0</v>
          </cell>
          <cell r="T66">
            <v>0</v>
          </cell>
          <cell r="U66">
            <v>0</v>
          </cell>
          <cell r="X66" t="str">
            <v xml:space="preserve">(e) Adjusting for Lower Market Share </v>
          </cell>
          <cell r="Y66">
            <v>0.19999999999999996</v>
          </cell>
          <cell r="Z66">
            <v>0.19999999999999996</v>
          </cell>
        </row>
        <row r="67">
          <cell r="C67" t="str">
            <v>Romania</v>
          </cell>
          <cell r="D67">
            <v>9.9500000000000005E-2</v>
          </cell>
          <cell r="E67">
            <v>0.11359999999999999</v>
          </cell>
          <cell r="F67">
            <v>0.13539999999999999</v>
          </cell>
          <cell r="G67">
            <v>0.15769999999999998</v>
          </cell>
          <cell r="H67">
            <v>0.1784</v>
          </cell>
          <cell r="I67">
            <v>0.19819999999999999</v>
          </cell>
          <cell r="O67">
            <v>0</v>
          </cell>
          <cell r="P67" t="str">
            <v>Romania</v>
          </cell>
          <cell r="Q67">
            <v>0.19819999999999999</v>
          </cell>
          <cell r="S67">
            <v>0</v>
          </cell>
          <cell r="T67">
            <v>0</v>
          </cell>
          <cell r="U67">
            <v>0</v>
          </cell>
          <cell r="X67" t="str">
            <v>(f) MS Estimated Market CAGR</v>
          </cell>
          <cell r="Y67">
            <v>0.04</v>
          </cell>
          <cell r="Z67">
            <v>0.03</v>
          </cell>
        </row>
        <row r="68">
          <cell r="C68" t="str">
            <v>United Arab Emirates</v>
          </cell>
          <cell r="D68">
            <v>8.1700000000000009E-2</v>
          </cell>
          <cell r="E68">
            <v>9.0700000000000003E-2</v>
          </cell>
          <cell r="F68">
            <v>0.1036</v>
          </cell>
          <cell r="G68">
            <v>0.1181</v>
          </cell>
          <cell r="H68">
            <v>0.14249999999999999</v>
          </cell>
          <cell r="I68">
            <v>0.16969999999999999</v>
          </cell>
          <cell r="O68">
            <v>0</v>
          </cell>
          <cell r="P68" t="str">
            <v>United Arab Emirates</v>
          </cell>
          <cell r="Q68">
            <v>0.16969999999999999</v>
          </cell>
          <cell r="S68">
            <v>0</v>
          </cell>
          <cell r="T68">
            <v>0</v>
          </cell>
          <cell r="U68">
            <v>0</v>
          </cell>
          <cell r="X68" t="str">
            <v xml:space="preserve">(g) Market Opportunity ($) ( c x d x e) x (1 + g )x </v>
          </cell>
          <cell r="Y68">
            <v>197.74895940985019</v>
          </cell>
          <cell r="Z68">
            <v>451.30738571019515</v>
          </cell>
        </row>
        <row r="69">
          <cell r="C69" t="str">
            <v>Hong Kong, China</v>
          </cell>
          <cell r="D69">
            <v>0.1313</v>
          </cell>
          <cell r="E69">
            <v>0.1348</v>
          </cell>
          <cell r="F69">
            <v>0.1406</v>
          </cell>
          <cell r="G69">
            <v>0.1464</v>
          </cell>
          <cell r="H69">
            <v>0.1522</v>
          </cell>
          <cell r="I69">
            <v>0.15780000000000002</v>
          </cell>
          <cell r="O69">
            <v>0</v>
          </cell>
          <cell r="P69" t="str">
            <v>Hong Kong, China</v>
          </cell>
          <cell r="Q69">
            <v>0.15780000000000002</v>
          </cell>
          <cell r="S69">
            <v>0</v>
          </cell>
          <cell r="T69">
            <v>0</v>
          </cell>
          <cell r="U69">
            <v>0</v>
          </cell>
          <cell r="X69" t="str">
            <v>Annual Impact on Alberto Revenue</v>
          </cell>
          <cell r="Y69">
            <v>2.3593979458366166E-2</v>
          </cell>
          <cell r="Z69">
            <v>2.6571113577134708E-2</v>
          </cell>
        </row>
        <row r="70">
          <cell r="C70" t="str">
            <v>Pakistan</v>
          </cell>
          <cell r="D70">
            <v>0.10640000000000001</v>
          </cell>
          <cell r="E70">
            <v>0.1147</v>
          </cell>
          <cell r="F70">
            <v>0.1245</v>
          </cell>
          <cell r="G70">
            <v>0.1356</v>
          </cell>
          <cell r="H70">
            <v>0.14809999999999998</v>
          </cell>
          <cell r="I70">
            <v>0.15759999999999999</v>
          </cell>
          <cell r="O70">
            <v>0</v>
          </cell>
          <cell r="P70" t="str">
            <v>Pakistan</v>
          </cell>
          <cell r="Q70">
            <v>0.15759999999999999</v>
          </cell>
          <cell r="S70">
            <v>0</v>
          </cell>
          <cell r="T70">
            <v>0</v>
          </cell>
          <cell r="U70">
            <v>0</v>
          </cell>
        </row>
        <row r="71">
          <cell r="C71" t="str">
            <v>Kazakhstan</v>
          </cell>
          <cell r="D71">
            <v>0.10349999999999999</v>
          </cell>
          <cell r="E71">
            <v>0.1061</v>
          </cell>
          <cell r="F71">
            <v>0.1133</v>
          </cell>
          <cell r="G71">
            <v>0.1231</v>
          </cell>
          <cell r="H71">
            <v>0.1414</v>
          </cell>
          <cell r="I71">
            <v>0.15590000000000001</v>
          </cell>
          <cell r="O71">
            <v>0</v>
          </cell>
          <cell r="P71" t="str">
            <v>Kazakhstan</v>
          </cell>
          <cell r="Q71">
            <v>0.15590000000000001</v>
          </cell>
          <cell r="S71">
            <v>0</v>
          </cell>
          <cell r="T71">
            <v>0</v>
          </cell>
          <cell r="U71">
            <v>0</v>
          </cell>
          <cell r="X71" t="str">
            <v xml:space="preserve">FINAL SUMMARY FOR INITIATION </v>
          </cell>
        </row>
        <row r="72">
          <cell r="C72" t="str">
            <v>Vietnam</v>
          </cell>
          <cell r="D72">
            <v>0.10729999999999999</v>
          </cell>
          <cell r="E72">
            <v>0.1162</v>
          </cell>
          <cell r="F72">
            <v>0.1245</v>
          </cell>
          <cell r="G72">
            <v>0.13250000000000001</v>
          </cell>
          <cell r="H72">
            <v>0.1394</v>
          </cell>
          <cell r="I72">
            <v>0.1462</v>
          </cell>
          <cell r="O72">
            <v>0</v>
          </cell>
          <cell r="P72" t="str">
            <v>Vietnam</v>
          </cell>
          <cell r="Q72">
            <v>0.1462</v>
          </cell>
          <cell r="S72">
            <v>0</v>
          </cell>
          <cell r="T72">
            <v>0</v>
          </cell>
          <cell r="U72">
            <v>0</v>
          </cell>
          <cell r="Y72" t="str">
            <v>1-5 Year</v>
          </cell>
          <cell r="Z72" t="str">
            <v>1-10 Year</v>
          </cell>
        </row>
        <row r="73">
          <cell r="C73" t="str">
            <v>Egypt</v>
          </cell>
          <cell r="D73">
            <v>9.2700000000000005E-2</v>
          </cell>
          <cell r="E73">
            <v>9.5500000000000002E-2</v>
          </cell>
          <cell r="F73">
            <v>0.1031</v>
          </cell>
          <cell r="G73">
            <v>0.11700000000000001</v>
          </cell>
          <cell r="H73">
            <v>0.13100000000000001</v>
          </cell>
          <cell r="I73">
            <v>0.14599999999999999</v>
          </cell>
          <cell r="O73">
            <v>0</v>
          </cell>
          <cell r="P73" t="str">
            <v>Egypt</v>
          </cell>
          <cell r="Q73">
            <v>0.14599999999999999</v>
          </cell>
          <cell r="S73">
            <v>0</v>
          </cell>
          <cell r="T73">
            <v>0</v>
          </cell>
          <cell r="U73">
            <v>0</v>
          </cell>
          <cell r="X73" t="str">
            <v>(a) ACV International Sales - FY10e</v>
          </cell>
          <cell r="Y73">
            <v>659.08994700878736</v>
          </cell>
          <cell r="Z73">
            <v>659.08994700878736</v>
          </cell>
        </row>
        <row r="74">
          <cell r="C74" t="str">
            <v>New Zealand</v>
          </cell>
          <cell r="D74">
            <v>0.1072</v>
          </cell>
          <cell r="E74">
            <v>0.1118</v>
          </cell>
          <cell r="F74">
            <v>0.11600000000000001</v>
          </cell>
          <cell r="G74">
            <v>0.1198</v>
          </cell>
          <cell r="H74">
            <v>0.12470000000000001</v>
          </cell>
          <cell r="I74">
            <v>0.13009999999999999</v>
          </cell>
          <cell r="O74">
            <v>0</v>
          </cell>
          <cell r="P74" t="str">
            <v>New Zealand</v>
          </cell>
          <cell r="Q74">
            <v>0.13009999999999999</v>
          </cell>
          <cell r="S74">
            <v>0</v>
          </cell>
          <cell r="T74">
            <v>0</v>
          </cell>
          <cell r="U74">
            <v>0</v>
          </cell>
          <cell r="X74" t="str">
            <v>(b) Estimated Haircare Mix</v>
          </cell>
          <cell r="Y74">
            <v>0.7</v>
          </cell>
          <cell r="Z74">
            <v>0.7</v>
          </cell>
        </row>
        <row r="75">
          <cell r="C75" t="str">
            <v>Azerbaijan</v>
          </cell>
          <cell r="D75">
            <v>5.1400000000000001E-2</v>
          </cell>
          <cell r="E75">
            <v>5.79E-2</v>
          </cell>
          <cell r="F75">
            <v>6.59E-2</v>
          </cell>
          <cell r="G75">
            <v>7.5200000000000003E-2</v>
          </cell>
          <cell r="H75">
            <v>9.5000000000000001E-2</v>
          </cell>
          <cell r="I75">
            <v>0.1202</v>
          </cell>
          <cell r="O75">
            <v>0</v>
          </cell>
          <cell r="P75" t="str">
            <v>Azerbaijan</v>
          </cell>
          <cell r="Q75">
            <v>0.1202</v>
          </cell>
          <cell r="S75">
            <v>0</v>
          </cell>
          <cell r="T75">
            <v>0</v>
          </cell>
          <cell r="U75">
            <v>0</v>
          </cell>
          <cell r="X75" t="str">
            <v>(c) ACV Haircare Sales - FY10e ( a x b)</v>
          </cell>
          <cell r="Y75">
            <v>461.3629629061511</v>
          </cell>
          <cell r="Z75">
            <v>461.3629629061511</v>
          </cell>
        </row>
        <row r="76">
          <cell r="C76" t="str">
            <v>Dominican Republic</v>
          </cell>
          <cell r="D76">
            <v>5.6600000000000004E-2</v>
          </cell>
          <cell r="E76">
            <v>7.5799999999999992E-2</v>
          </cell>
          <cell r="F76">
            <v>8.3400000000000002E-2</v>
          </cell>
          <cell r="G76">
            <v>0.10059999999999999</v>
          </cell>
          <cell r="H76">
            <v>0.11120000000000001</v>
          </cell>
          <cell r="I76">
            <v>0.1164</v>
          </cell>
          <cell r="O76">
            <v>0</v>
          </cell>
          <cell r="P76" t="str">
            <v>Dominican Republic</v>
          </cell>
          <cell r="Q76">
            <v>0.1164</v>
          </cell>
          <cell r="S76">
            <v>0</v>
          </cell>
          <cell r="T76">
            <v>0</v>
          </cell>
          <cell r="U76">
            <v>0</v>
          </cell>
          <cell r="X76" t="str">
            <v>(d) Adjusting for Market Sizes1,2</v>
          </cell>
          <cell r="Y76">
            <v>1.761468118816822</v>
          </cell>
          <cell r="Z76">
            <v>3.4606958843270084</v>
          </cell>
        </row>
        <row r="77">
          <cell r="C77" t="str">
            <v>Slovakia</v>
          </cell>
          <cell r="D77">
            <v>9.2299999999999993E-2</v>
          </cell>
          <cell r="E77">
            <v>9.459999999999999E-2</v>
          </cell>
          <cell r="F77">
            <v>9.7200000000000009E-2</v>
          </cell>
          <cell r="G77">
            <v>0.10050000000000001</v>
          </cell>
          <cell r="H77">
            <v>0.10909999999999999</v>
          </cell>
          <cell r="I77">
            <v>0.1147</v>
          </cell>
          <cell r="O77">
            <v>0</v>
          </cell>
          <cell r="P77" t="str">
            <v>Slovakia</v>
          </cell>
          <cell r="Q77">
            <v>0.1147</v>
          </cell>
          <cell r="S77">
            <v>0</v>
          </cell>
          <cell r="T77">
            <v>0</v>
          </cell>
          <cell r="U77">
            <v>0</v>
          </cell>
          <cell r="X77" t="str">
            <v xml:space="preserve">(e) Adjusting for Lower Market Share </v>
          </cell>
          <cell r="Y77">
            <v>0.19999999999999996</v>
          </cell>
          <cell r="Z77">
            <v>0.19999999999999996</v>
          </cell>
        </row>
        <row r="78">
          <cell r="C78" t="str">
            <v>Uzbekistan</v>
          </cell>
          <cell r="D78">
            <v>4.2299999999999997E-2</v>
          </cell>
          <cell r="E78">
            <v>5.6299999999999996E-2</v>
          </cell>
          <cell r="F78">
            <v>6.93E-2</v>
          </cell>
          <cell r="G78">
            <v>8.4599999999999995E-2</v>
          </cell>
          <cell r="H78">
            <v>9.5500000000000002E-2</v>
          </cell>
          <cell r="I78">
            <v>0.109</v>
          </cell>
          <cell r="O78">
            <v>0</v>
          </cell>
          <cell r="P78" t="str">
            <v>Uzbekistan</v>
          </cell>
          <cell r="Q78">
            <v>0.109</v>
          </cell>
          <cell r="S78">
            <v>0</v>
          </cell>
          <cell r="T78">
            <v>0</v>
          </cell>
          <cell r="U78">
            <v>0</v>
          </cell>
          <cell r="X78" t="str">
            <v>(f) MS Estimated Market CAGR</v>
          </cell>
          <cell r="Y78">
            <v>0.04</v>
          </cell>
          <cell r="Z78">
            <v>3.5198485919121891E-2</v>
          </cell>
          <cell r="AD78">
            <v>319.32738138204616</v>
          </cell>
          <cell r="AE78">
            <v>451.30738571019515</v>
          </cell>
          <cell r="AG78">
            <v>3.5198485919121891E-2</v>
          </cell>
        </row>
        <row r="79">
          <cell r="C79" t="str">
            <v>Bangladesh - modelled</v>
          </cell>
          <cell r="D79">
            <v>7.3700000000000002E-2</v>
          </cell>
          <cell r="E79">
            <v>7.5299999999999992E-2</v>
          </cell>
          <cell r="F79">
            <v>7.8299999999999995E-2</v>
          </cell>
          <cell r="G79">
            <v>8.6599999999999996E-2</v>
          </cell>
          <cell r="H79">
            <v>8.7800000000000003E-2</v>
          </cell>
          <cell r="I79">
            <v>0.1018</v>
          </cell>
          <cell r="O79">
            <v>0</v>
          </cell>
          <cell r="P79" t="str">
            <v>Bangladesh - modelled</v>
          </cell>
          <cell r="Q79">
            <v>0.1018</v>
          </cell>
          <cell r="S79">
            <v>0</v>
          </cell>
          <cell r="T79">
            <v>0</v>
          </cell>
          <cell r="U79">
            <v>0</v>
          </cell>
          <cell r="X79" t="str">
            <v xml:space="preserve">(g) Market Opportunity ($) ( c x d x e) x (1 + f )x </v>
          </cell>
          <cell r="Y79">
            <v>197.74895940985019</v>
          </cell>
          <cell r="Z79">
            <v>451.30738571019515</v>
          </cell>
        </row>
        <row r="80">
          <cell r="C80" t="str">
            <v>Belarus</v>
          </cell>
          <cell r="D80">
            <v>3.1399999999999997E-2</v>
          </cell>
          <cell r="E80">
            <v>4.2000000000000003E-2</v>
          </cell>
          <cell r="F80">
            <v>5.2200000000000003E-2</v>
          </cell>
          <cell r="G80">
            <v>6.4799999999999996E-2</v>
          </cell>
          <cell r="H80">
            <v>7.9899999999999999E-2</v>
          </cell>
          <cell r="I80">
            <v>9.8599999999999993E-2</v>
          </cell>
          <cell r="O80">
            <v>0</v>
          </cell>
          <cell r="P80" t="str">
            <v>Belarus</v>
          </cell>
          <cell r="Q80">
            <v>9.8599999999999993E-2</v>
          </cell>
          <cell r="S80">
            <v>0</v>
          </cell>
          <cell r="T80">
            <v>0</v>
          </cell>
          <cell r="U80">
            <v>0</v>
          </cell>
          <cell r="X80" t="str">
            <v>Annual Impact on Alberto Revenue</v>
          </cell>
          <cell r="Y80">
            <v>2.3593979458366166E-2</v>
          </cell>
          <cell r="Z80">
            <v>2.6571113577134708E-2</v>
          </cell>
        </row>
        <row r="81">
          <cell r="C81" t="str">
            <v>Singapore</v>
          </cell>
          <cell r="D81">
            <v>7.3099999999999998E-2</v>
          </cell>
          <cell r="E81">
            <v>7.690000000000001E-2</v>
          </cell>
          <cell r="F81">
            <v>8.2000000000000003E-2</v>
          </cell>
          <cell r="G81">
            <v>8.6599999999999996E-2</v>
          </cell>
          <cell r="H81">
            <v>9.1200000000000003E-2</v>
          </cell>
          <cell r="I81">
            <v>9.5500000000000002E-2</v>
          </cell>
          <cell r="O81">
            <v>0</v>
          </cell>
          <cell r="P81" t="str">
            <v>Singapore</v>
          </cell>
          <cell r="Q81">
            <v>9.5500000000000002E-2</v>
          </cell>
          <cell r="S81">
            <v>0</v>
          </cell>
          <cell r="T81">
            <v>0</v>
          </cell>
          <cell r="U81">
            <v>0</v>
          </cell>
        </row>
        <row r="82">
          <cell r="C82" t="str">
            <v>Lithuania</v>
          </cell>
          <cell r="D82">
            <v>4.41E-2</v>
          </cell>
          <cell r="E82">
            <v>4.4899999999999995E-2</v>
          </cell>
          <cell r="F82">
            <v>4.9000000000000002E-2</v>
          </cell>
          <cell r="G82">
            <v>5.8900000000000001E-2</v>
          </cell>
          <cell r="H82">
            <v>6.6700000000000009E-2</v>
          </cell>
          <cell r="I82">
            <v>7.2800000000000004E-2</v>
          </cell>
          <cell r="O82">
            <v>0</v>
          </cell>
          <cell r="P82" t="str">
            <v>Lithuania</v>
          </cell>
          <cell r="Q82">
            <v>7.2800000000000004E-2</v>
          </cell>
          <cell r="S82">
            <v>0</v>
          </cell>
          <cell r="T82">
            <v>0</v>
          </cell>
          <cell r="U82">
            <v>0</v>
          </cell>
          <cell r="X82" t="str">
            <v>FINAL FINAL SUMMARY FOR INITIATION</v>
          </cell>
        </row>
        <row r="83">
          <cell r="C83" t="str">
            <v>Bulgaria</v>
          </cell>
          <cell r="D83">
            <v>4.48E-2</v>
          </cell>
          <cell r="E83">
            <v>4.9299999999999997E-2</v>
          </cell>
          <cell r="F83">
            <v>5.33E-2</v>
          </cell>
          <cell r="G83">
            <v>5.6100000000000004E-2</v>
          </cell>
          <cell r="H83">
            <v>6.2200000000000005E-2</v>
          </cell>
          <cell r="I83">
            <v>7.17E-2</v>
          </cell>
          <cell r="O83">
            <v>0</v>
          </cell>
          <cell r="P83" t="str">
            <v>Bulgaria</v>
          </cell>
          <cell r="Q83">
            <v>7.17E-2</v>
          </cell>
          <cell r="S83">
            <v>0</v>
          </cell>
          <cell r="T83">
            <v>0</v>
          </cell>
          <cell r="U83">
            <v>0</v>
          </cell>
          <cell r="X83" t="str">
            <v>$ in millions</v>
          </cell>
          <cell r="Y83" t="str">
            <v>Years 1-5</v>
          </cell>
          <cell r="Z83" t="str">
            <v>Years 1-10</v>
          </cell>
        </row>
        <row r="84">
          <cell r="C84" t="str">
            <v>Guatemala</v>
          </cell>
          <cell r="D84">
            <v>5.11E-2</v>
          </cell>
          <cell r="E84">
            <v>5.3700000000000005E-2</v>
          </cell>
          <cell r="F84">
            <v>5.4100000000000002E-2</v>
          </cell>
          <cell r="G84">
            <v>5.9200000000000003E-2</v>
          </cell>
          <cell r="H84">
            <v>6.3200000000000006E-2</v>
          </cell>
          <cell r="I84">
            <v>7.1300000000000002E-2</v>
          </cell>
          <cell r="O84">
            <v>0</v>
          </cell>
          <cell r="P84" t="str">
            <v>Guatemala</v>
          </cell>
          <cell r="Q84">
            <v>7.1300000000000002E-2</v>
          </cell>
          <cell r="S84">
            <v>0</v>
          </cell>
          <cell r="T84">
            <v>0</v>
          </cell>
          <cell r="U84">
            <v>0</v>
          </cell>
          <cell r="X84" t="str">
            <v>(a) ACV International Sales - FY10e</v>
          </cell>
          <cell r="Y84">
            <v>659.08994700878736</v>
          </cell>
          <cell r="Z84">
            <v>659.08994700878736</v>
          </cell>
        </row>
        <row r="85">
          <cell r="C85" t="str">
            <v>Ecuador</v>
          </cell>
          <cell r="D85">
            <v>5.0299999999999997E-2</v>
          </cell>
          <cell r="E85">
            <v>5.4299999999999994E-2</v>
          </cell>
          <cell r="F85">
            <v>5.7000000000000002E-2</v>
          </cell>
          <cell r="G85">
            <v>6.0200000000000004E-2</v>
          </cell>
          <cell r="H85">
            <v>6.3600000000000004E-2</v>
          </cell>
          <cell r="I85">
            <v>6.7799999999999999E-2</v>
          </cell>
          <cell r="O85">
            <v>0</v>
          </cell>
          <cell r="P85" t="str">
            <v>Ecuador</v>
          </cell>
          <cell r="Q85">
            <v>6.7799999999999999E-2</v>
          </cell>
          <cell r="S85">
            <v>0</v>
          </cell>
          <cell r="T85">
            <v>0</v>
          </cell>
          <cell r="U85">
            <v>0</v>
          </cell>
          <cell r="X85" t="str">
            <v>(b) Estimated Haircare Mix</v>
          </cell>
          <cell r="Y85">
            <v>0.7</v>
          </cell>
          <cell r="Z85">
            <v>0.7</v>
          </cell>
        </row>
        <row r="86">
          <cell r="C86" t="str">
            <v>Morocco</v>
          </cell>
          <cell r="D86">
            <v>4.8799999999999996E-2</v>
          </cell>
          <cell r="E86">
            <v>5.21E-2</v>
          </cell>
          <cell r="F86">
            <v>5.5399999999999998E-2</v>
          </cell>
          <cell r="G86">
            <v>5.8799999999999998E-2</v>
          </cell>
          <cell r="H86">
            <v>6.2399999999999997E-2</v>
          </cell>
          <cell r="I86">
            <v>6.6599999999999993E-2</v>
          </cell>
          <cell r="O86">
            <v>0</v>
          </cell>
          <cell r="P86" t="str">
            <v>Morocco</v>
          </cell>
          <cell r="Q86">
            <v>6.6599999999999993E-2</v>
          </cell>
          <cell r="S86">
            <v>0</v>
          </cell>
          <cell r="T86">
            <v>0</v>
          </cell>
          <cell r="U86">
            <v>0</v>
          </cell>
          <cell r="X86" t="str">
            <v>(c) ACV Haircare Sales - FY10e  (a x b)</v>
          </cell>
          <cell r="Y86">
            <v>461.3629629061511</v>
          </cell>
          <cell r="Z86">
            <v>461.3629629061511</v>
          </cell>
        </row>
        <row r="87">
          <cell r="C87" t="str">
            <v>Nigeria</v>
          </cell>
          <cell r="D87">
            <v>4.5200000000000004E-2</v>
          </cell>
          <cell r="E87">
            <v>4.9799999999999997E-2</v>
          </cell>
          <cell r="F87">
            <v>5.6500000000000002E-2</v>
          </cell>
          <cell r="G87">
            <v>6.2899999999999998E-2</v>
          </cell>
          <cell r="H87">
            <v>6.3200000000000006E-2</v>
          </cell>
          <cell r="I87">
            <v>6.6000000000000003E-2</v>
          </cell>
          <cell r="O87">
            <v>0</v>
          </cell>
          <cell r="P87" t="str">
            <v>Nigeria</v>
          </cell>
          <cell r="Q87">
            <v>6.6000000000000003E-2</v>
          </cell>
          <cell r="S87">
            <v>0</v>
          </cell>
          <cell r="T87">
            <v>0</v>
          </cell>
          <cell r="U87">
            <v>0</v>
          </cell>
          <cell r="X87" t="str">
            <v>(d) Adjusting for Market Sizes1,2</v>
          </cell>
          <cell r="Y87">
            <v>1.8726375548111431</v>
          </cell>
          <cell r="Z87">
            <v>4.5272111701298794</v>
          </cell>
        </row>
        <row r="88">
          <cell r="C88" t="str">
            <v>Uruguay</v>
          </cell>
          <cell r="D88">
            <v>3.1199999999999999E-2</v>
          </cell>
          <cell r="E88">
            <v>4.3099999999999999E-2</v>
          </cell>
          <cell r="F88">
            <v>4.3299999999999998E-2</v>
          </cell>
          <cell r="G88">
            <v>5.3399999999999996E-2</v>
          </cell>
          <cell r="H88">
            <v>5.8200000000000002E-2</v>
          </cell>
          <cell r="I88">
            <v>6.5200000000000008E-2</v>
          </cell>
          <cell r="O88">
            <v>0</v>
          </cell>
          <cell r="P88" t="str">
            <v>Uruguay</v>
          </cell>
          <cell r="Q88">
            <v>6.5200000000000008E-2</v>
          </cell>
          <cell r="S88">
            <v>0</v>
          </cell>
          <cell r="T88">
            <v>0</v>
          </cell>
          <cell r="U88">
            <v>0</v>
          </cell>
          <cell r="X88" t="str">
            <v>(e) Estimated Total Market Size  (c x d)</v>
          </cell>
          <cell r="Y88">
            <v>863.96561073699888</v>
          </cell>
          <cell r="Z88">
            <v>2088.6875591529442</v>
          </cell>
        </row>
        <row r="89">
          <cell r="C89" t="str">
            <v>Algeria</v>
          </cell>
          <cell r="D89">
            <v>4.9700000000000001E-2</v>
          </cell>
          <cell r="E89">
            <v>5.1700000000000003E-2</v>
          </cell>
          <cell r="F89">
            <v>5.3899999999999997E-2</v>
          </cell>
          <cell r="G89">
            <v>5.6600000000000004E-2</v>
          </cell>
          <cell r="H89">
            <v>6.0700000000000004E-2</v>
          </cell>
          <cell r="I89">
            <v>6.4599999999999991E-2</v>
          </cell>
          <cell r="O89">
            <v>0</v>
          </cell>
          <cell r="P89" t="str">
            <v>Algeria</v>
          </cell>
          <cell r="Q89">
            <v>6.4599999999999991E-2</v>
          </cell>
          <cell r="S89">
            <v>0</v>
          </cell>
          <cell r="T89">
            <v>0</v>
          </cell>
          <cell r="U89">
            <v>0</v>
          </cell>
          <cell r="X89" t="str">
            <v xml:space="preserve">(f) Adjusting for Lower Market Share </v>
          </cell>
          <cell r="Y89">
            <v>0.19999999999999996</v>
          </cell>
          <cell r="Z89">
            <v>0.19999999999999996</v>
          </cell>
        </row>
        <row r="90">
          <cell r="C90" t="str">
            <v>Croatia</v>
          </cell>
          <cell r="D90">
            <v>4.3700000000000003E-2</v>
          </cell>
          <cell r="E90">
            <v>4.7200000000000006E-2</v>
          </cell>
          <cell r="F90">
            <v>5.1499999999999997E-2</v>
          </cell>
          <cell r="G90">
            <v>5.4899999999999997E-2</v>
          </cell>
          <cell r="H90">
            <v>5.8299999999999998E-2</v>
          </cell>
          <cell r="I90">
            <v>6.1499999999999999E-2</v>
          </cell>
          <cell r="O90">
            <v>0</v>
          </cell>
          <cell r="P90" t="str">
            <v>Croatia</v>
          </cell>
          <cell r="Q90">
            <v>6.1499999999999999E-2</v>
          </cell>
          <cell r="S90">
            <v>0</v>
          </cell>
          <cell r="T90">
            <v>0</v>
          </cell>
          <cell r="U90">
            <v>0</v>
          </cell>
          <cell r="X90" t="str">
            <v>(g) Market Opportunity ($)  (e x f)</v>
          </cell>
          <cell r="Y90">
            <v>172.79312214739974</v>
          </cell>
          <cell r="Z90">
            <v>417.73751183058874</v>
          </cell>
        </row>
        <row r="91">
          <cell r="C91" t="str">
            <v>Serbia and Montenegro</v>
          </cell>
          <cell r="D91">
            <v>3.5499999999999997E-2</v>
          </cell>
          <cell r="E91">
            <v>4.07E-2</v>
          </cell>
          <cell r="F91">
            <v>4.5600000000000002E-2</v>
          </cell>
          <cell r="G91">
            <v>4.9700000000000001E-2</v>
          </cell>
          <cell r="H91">
            <v>5.6100000000000004E-2</v>
          </cell>
          <cell r="I91">
            <v>6.0200000000000004E-2</v>
          </cell>
          <cell r="O91">
            <v>0</v>
          </cell>
          <cell r="P91" t="str">
            <v>Serbia and Montenegro</v>
          </cell>
          <cell r="Q91">
            <v>6.0200000000000004E-2</v>
          </cell>
          <cell r="S91">
            <v>0</v>
          </cell>
          <cell r="T91">
            <v>0</v>
          </cell>
          <cell r="U91">
            <v>0</v>
          </cell>
          <cell r="X91" t="str">
            <v>Annual Impact on Alberto Revenue</v>
          </cell>
          <cell r="Y91">
            <v>2.0734636937908224E-2</v>
          </cell>
          <cell r="Z91">
            <v>2.3481578437835049E-2</v>
          </cell>
        </row>
        <row r="92">
          <cell r="C92" t="str">
            <v>Slovenia</v>
          </cell>
          <cell r="D92">
            <v>5.5200000000000006E-2</v>
          </cell>
          <cell r="E92">
            <v>5.5E-2</v>
          </cell>
          <cell r="F92">
            <v>5.4200000000000005E-2</v>
          </cell>
          <cell r="G92">
            <v>5.2899999999999996E-2</v>
          </cell>
          <cell r="H92">
            <v>5.2299999999999999E-2</v>
          </cell>
          <cell r="I92">
            <v>5.3399999999999996E-2</v>
          </cell>
          <cell r="O92">
            <v>0</v>
          </cell>
          <cell r="P92" t="str">
            <v>Slovenia</v>
          </cell>
          <cell r="Q92">
            <v>5.3399999999999996E-2</v>
          </cell>
          <cell r="S92">
            <v>0</v>
          </cell>
          <cell r="T92">
            <v>0</v>
          </cell>
          <cell r="U92">
            <v>0</v>
          </cell>
        </row>
        <row r="93">
          <cell r="C93" t="str">
            <v>Syria - modelled</v>
          </cell>
          <cell r="D93">
            <v>4.1799999999999997E-2</v>
          </cell>
          <cell r="E93">
            <v>4.2500000000000003E-2</v>
          </cell>
          <cell r="F93">
            <v>4.3299999999999998E-2</v>
          </cell>
          <cell r="G93">
            <v>4.4700000000000004E-2</v>
          </cell>
          <cell r="H93">
            <v>4.7700000000000006E-2</v>
          </cell>
          <cell r="I93">
            <v>5.21E-2</v>
          </cell>
          <cell r="O93">
            <v>0</v>
          </cell>
          <cell r="P93" t="str">
            <v>Syria - modelled</v>
          </cell>
          <cell r="Q93">
            <v>5.21E-2</v>
          </cell>
          <cell r="S93">
            <v>0</v>
          </cell>
          <cell r="T93">
            <v>0</v>
          </cell>
          <cell r="U93">
            <v>0</v>
          </cell>
        </row>
        <row r="94">
          <cell r="C94" t="str">
            <v>Tunisia</v>
          </cell>
          <cell r="D94">
            <v>3.3600000000000005E-2</v>
          </cell>
          <cell r="E94">
            <v>3.5799999999999998E-2</v>
          </cell>
          <cell r="F94">
            <v>3.9100000000000003E-2</v>
          </cell>
          <cell r="G94">
            <v>4.1399999999999999E-2</v>
          </cell>
          <cell r="H94">
            <v>4.6200000000000005E-2</v>
          </cell>
          <cell r="I94">
            <v>5.21E-2</v>
          </cell>
          <cell r="O94">
            <v>0</v>
          </cell>
          <cell r="P94" t="str">
            <v>Tunisia</v>
          </cell>
          <cell r="Q94">
            <v>5.21E-2</v>
          </cell>
          <cell r="S94">
            <v>0</v>
          </cell>
          <cell r="T94">
            <v>0</v>
          </cell>
          <cell r="U94">
            <v>0</v>
          </cell>
        </row>
        <row r="95">
          <cell r="C95" t="str">
            <v>Kenya</v>
          </cell>
          <cell r="D95">
            <v>3.1699999999999999E-2</v>
          </cell>
          <cell r="E95">
            <v>3.4500000000000003E-2</v>
          </cell>
          <cell r="F95">
            <v>3.7499999999999999E-2</v>
          </cell>
          <cell r="G95">
            <v>4.1799999999999997E-2</v>
          </cell>
          <cell r="H95">
            <v>4.5600000000000002E-2</v>
          </cell>
          <cell r="I95">
            <v>4.9399999999999999E-2</v>
          </cell>
          <cell r="O95">
            <v>0</v>
          </cell>
          <cell r="P95" t="str">
            <v>Kenya</v>
          </cell>
          <cell r="Q95">
            <v>4.9399999999999999E-2</v>
          </cell>
          <cell r="S95">
            <v>0</v>
          </cell>
          <cell r="T95">
            <v>0</v>
          </cell>
          <cell r="U95">
            <v>0</v>
          </cell>
        </row>
        <row r="96">
          <cell r="C96" t="str">
            <v>Bosnia-Herzegovina</v>
          </cell>
          <cell r="D96">
            <v>3.49E-2</v>
          </cell>
          <cell r="E96">
            <v>3.6799999999999999E-2</v>
          </cell>
          <cell r="F96">
            <v>3.7899999999999996E-2</v>
          </cell>
          <cell r="G96">
            <v>4.0299999999999996E-2</v>
          </cell>
          <cell r="H96">
            <v>4.2700000000000002E-2</v>
          </cell>
          <cell r="I96">
            <v>4.82E-2</v>
          </cell>
          <cell r="O96">
            <v>0</v>
          </cell>
          <cell r="P96" t="str">
            <v>Bosnia-Herzegovina</v>
          </cell>
          <cell r="Q96">
            <v>4.82E-2</v>
          </cell>
          <cell r="S96">
            <v>0</v>
          </cell>
          <cell r="T96">
            <v>0</v>
          </cell>
          <cell r="U96">
            <v>0</v>
          </cell>
        </row>
        <row r="97">
          <cell r="C97" t="str">
            <v>Puerto Rico - modelled</v>
          </cell>
          <cell r="D97">
            <v>4.4499999999999998E-2</v>
          </cell>
          <cell r="E97">
            <v>4.4299999999999999E-2</v>
          </cell>
          <cell r="F97">
            <v>4.4999999999999998E-2</v>
          </cell>
          <cell r="G97">
            <v>4.6200000000000005E-2</v>
          </cell>
          <cell r="H97">
            <v>4.6700000000000005E-2</v>
          </cell>
          <cell r="I97">
            <v>4.5700000000000005E-2</v>
          </cell>
          <cell r="O97">
            <v>0</v>
          </cell>
          <cell r="P97" t="str">
            <v>Puerto Rico - modelled</v>
          </cell>
          <cell r="Q97">
            <v>4.5700000000000005E-2</v>
          </cell>
          <cell r="S97">
            <v>0</v>
          </cell>
          <cell r="T97">
            <v>0</v>
          </cell>
          <cell r="U97">
            <v>0</v>
          </cell>
        </row>
        <row r="98">
          <cell r="C98" t="str">
            <v>Oman - modelled</v>
          </cell>
          <cell r="D98">
            <v>3.2299999999999995E-2</v>
          </cell>
          <cell r="E98">
            <v>3.2899999999999999E-2</v>
          </cell>
          <cell r="F98">
            <v>3.3399999999999999E-2</v>
          </cell>
          <cell r="G98">
            <v>3.4500000000000003E-2</v>
          </cell>
          <cell r="H98">
            <v>3.6899999999999995E-2</v>
          </cell>
          <cell r="I98">
            <v>0.04</v>
          </cell>
          <cell r="O98">
            <v>0</v>
          </cell>
          <cell r="P98" t="str">
            <v>Oman - modelled</v>
          </cell>
          <cell r="Q98">
            <v>0.04</v>
          </cell>
          <cell r="S98">
            <v>0</v>
          </cell>
          <cell r="T98">
            <v>0</v>
          </cell>
          <cell r="U98">
            <v>0</v>
          </cell>
        </row>
        <row r="99">
          <cell r="C99" t="str">
            <v>Cuba - modelled</v>
          </cell>
          <cell r="D99">
            <v>2.9899999999999999E-2</v>
          </cell>
          <cell r="E99">
            <v>3.2399999999999998E-2</v>
          </cell>
          <cell r="F99">
            <v>0.03</v>
          </cell>
          <cell r="G99">
            <v>3.2100000000000004E-2</v>
          </cell>
          <cell r="H99">
            <v>3.3799999999999997E-2</v>
          </cell>
          <cell r="I99">
            <v>3.7999999999999999E-2</v>
          </cell>
          <cell r="O99">
            <v>0</v>
          </cell>
          <cell r="P99" t="str">
            <v>Cuba - modelled</v>
          </cell>
          <cell r="Q99">
            <v>3.7999999999999999E-2</v>
          </cell>
          <cell r="S99">
            <v>0</v>
          </cell>
          <cell r="T99">
            <v>0</v>
          </cell>
          <cell r="U99">
            <v>0</v>
          </cell>
        </row>
        <row r="100">
          <cell r="C100" t="str">
            <v>Sri Lanka - modelled</v>
          </cell>
          <cell r="D100">
            <v>2.7600000000000003E-2</v>
          </cell>
          <cell r="E100">
            <v>2.8199999999999999E-2</v>
          </cell>
          <cell r="F100">
            <v>2.93E-2</v>
          </cell>
          <cell r="G100">
            <v>3.2399999999999998E-2</v>
          </cell>
          <cell r="H100">
            <v>3.2500000000000001E-2</v>
          </cell>
          <cell r="I100">
            <v>3.7200000000000004E-2</v>
          </cell>
          <cell r="O100">
            <v>0</v>
          </cell>
          <cell r="P100" t="str">
            <v>Sri Lanka - modelled</v>
          </cell>
          <cell r="Q100">
            <v>3.7200000000000004E-2</v>
          </cell>
          <cell r="S100">
            <v>0</v>
          </cell>
          <cell r="T100">
            <v>0</v>
          </cell>
          <cell r="U100">
            <v>0</v>
          </cell>
        </row>
        <row r="101">
          <cell r="C101" t="str">
            <v>Tanzania - modelled</v>
          </cell>
          <cell r="D101">
            <v>1.95E-2</v>
          </cell>
          <cell r="E101">
            <v>1.84E-2</v>
          </cell>
          <cell r="F101">
            <v>2.29E-2</v>
          </cell>
          <cell r="G101">
            <v>2.63E-2</v>
          </cell>
          <cell r="H101">
            <v>2.9700000000000001E-2</v>
          </cell>
          <cell r="I101">
            <v>3.7200000000000004E-2</v>
          </cell>
          <cell r="O101">
            <v>0</v>
          </cell>
          <cell r="P101" t="str">
            <v>Tanzania - modelled</v>
          </cell>
          <cell r="Q101">
            <v>3.7200000000000004E-2</v>
          </cell>
          <cell r="S101">
            <v>0</v>
          </cell>
          <cell r="T101">
            <v>0</v>
          </cell>
          <cell r="U101">
            <v>0</v>
          </cell>
        </row>
        <row r="102">
          <cell r="C102" t="str">
            <v>El Salvador - modelled</v>
          </cell>
          <cell r="D102">
            <v>2.69E-2</v>
          </cell>
          <cell r="E102">
            <v>2.92E-2</v>
          </cell>
          <cell r="F102">
            <v>2.7100000000000003E-2</v>
          </cell>
          <cell r="G102">
            <v>2.8899999999999999E-2</v>
          </cell>
          <cell r="H102">
            <v>3.0800000000000001E-2</v>
          </cell>
          <cell r="I102">
            <v>3.5200000000000002E-2</v>
          </cell>
          <cell r="O102">
            <v>0</v>
          </cell>
          <cell r="P102" t="str">
            <v>El Salvador - modelled</v>
          </cell>
          <cell r="Q102">
            <v>3.5200000000000002E-2</v>
          </cell>
          <cell r="S102">
            <v>0</v>
          </cell>
          <cell r="T102">
            <v>0</v>
          </cell>
          <cell r="U102">
            <v>0</v>
          </cell>
        </row>
        <row r="103">
          <cell r="C103" t="str">
            <v>Latvia</v>
          </cell>
          <cell r="D103">
            <v>2.8500000000000001E-2</v>
          </cell>
          <cell r="E103">
            <v>2.9899999999999999E-2</v>
          </cell>
          <cell r="F103">
            <v>3.1199999999999999E-2</v>
          </cell>
          <cell r="G103">
            <v>3.1600000000000003E-2</v>
          </cell>
          <cell r="H103">
            <v>3.3799999999999997E-2</v>
          </cell>
          <cell r="I103">
            <v>3.5000000000000003E-2</v>
          </cell>
          <cell r="O103">
            <v>0</v>
          </cell>
          <cell r="P103" t="str">
            <v>Latvia</v>
          </cell>
          <cell r="Q103">
            <v>3.5000000000000003E-2</v>
          </cell>
          <cell r="S103">
            <v>0</v>
          </cell>
          <cell r="T103">
            <v>0</v>
          </cell>
          <cell r="U103">
            <v>0</v>
          </cell>
        </row>
        <row r="104">
          <cell r="C104" t="str">
            <v>Lebanon - modelled</v>
          </cell>
          <cell r="D104">
            <v>2.75E-2</v>
          </cell>
          <cell r="E104">
            <v>2.8000000000000001E-2</v>
          </cell>
          <cell r="F104">
            <v>2.8500000000000001E-2</v>
          </cell>
          <cell r="G104">
            <v>2.9499999999999998E-2</v>
          </cell>
          <cell r="H104">
            <v>3.1199999999999999E-2</v>
          </cell>
          <cell r="I104">
            <v>3.3500000000000002E-2</v>
          </cell>
          <cell r="O104">
            <v>0</v>
          </cell>
          <cell r="P104" t="str">
            <v>Lebanon - modelled</v>
          </cell>
          <cell r="Q104">
            <v>3.3500000000000002E-2</v>
          </cell>
          <cell r="S104">
            <v>0</v>
          </cell>
          <cell r="T104">
            <v>0</v>
          </cell>
          <cell r="U104">
            <v>0</v>
          </cell>
        </row>
        <row r="105">
          <cell r="C105" t="str">
            <v>Costa Rica</v>
          </cell>
          <cell r="D105">
            <v>1.72E-2</v>
          </cell>
          <cell r="E105">
            <v>1.9899999999999998E-2</v>
          </cell>
          <cell r="F105">
            <v>2.2600000000000002E-2</v>
          </cell>
          <cell r="G105">
            <v>2.5999999999999999E-2</v>
          </cell>
          <cell r="H105">
            <v>2.9100000000000001E-2</v>
          </cell>
          <cell r="I105">
            <v>3.2799999999999996E-2</v>
          </cell>
          <cell r="O105">
            <v>0</v>
          </cell>
          <cell r="P105" t="str">
            <v>Costa Rica</v>
          </cell>
          <cell r="Q105">
            <v>3.2799999999999996E-2</v>
          </cell>
          <cell r="S105">
            <v>0</v>
          </cell>
          <cell r="T105">
            <v>0</v>
          </cell>
          <cell r="U105">
            <v>0</v>
          </cell>
        </row>
        <row r="106">
          <cell r="C106" t="str">
            <v>Kuwait - modelled</v>
          </cell>
          <cell r="D106">
            <v>3.6899999999999995E-2</v>
          </cell>
          <cell r="E106">
            <v>3.7100000000000001E-2</v>
          </cell>
          <cell r="F106">
            <v>3.7999999999999999E-2</v>
          </cell>
          <cell r="G106">
            <v>3.8299999999999994E-2</v>
          </cell>
          <cell r="H106">
            <v>3.7100000000000001E-2</v>
          </cell>
          <cell r="I106">
            <v>3.2199999999999999E-2</v>
          </cell>
          <cell r="O106">
            <v>0</v>
          </cell>
          <cell r="P106" t="str">
            <v>Kuwait - modelled</v>
          </cell>
          <cell r="Q106">
            <v>3.2199999999999999E-2</v>
          </cell>
          <cell r="S106">
            <v>0</v>
          </cell>
          <cell r="T106">
            <v>0</v>
          </cell>
          <cell r="U106">
            <v>0</v>
          </cell>
        </row>
        <row r="107">
          <cell r="C107" t="str">
            <v>Georgia</v>
          </cell>
          <cell r="D107">
            <v>1.9800000000000002E-2</v>
          </cell>
          <cell r="E107">
            <v>2.07E-2</v>
          </cell>
          <cell r="F107">
            <v>2.23E-2</v>
          </cell>
          <cell r="G107">
            <v>2.4199999999999999E-2</v>
          </cell>
          <cell r="H107">
            <v>2.8000000000000001E-2</v>
          </cell>
          <cell r="I107">
            <v>2.98E-2</v>
          </cell>
          <cell r="O107">
            <v>0</v>
          </cell>
          <cell r="P107" t="str">
            <v>Georgia</v>
          </cell>
          <cell r="Q107">
            <v>2.98E-2</v>
          </cell>
          <cell r="S107">
            <v>0</v>
          </cell>
          <cell r="T107">
            <v>0</v>
          </cell>
          <cell r="U107">
            <v>0</v>
          </cell>
        </row>
        <row r="108">
          <cell r="C108" t="str">
            <v>Honduras - modelled</v>
          </cell>
          <cell r="D108">
            <v>2.2200000000000001E-2</v>
          </cell>
          <cell r="E108">
            <v>2.41E-2</v>
          </cell>
          <cell r="F108">
            <v>2.23E-2</v>
          </cell>
          <cell r="G108">
            <v>2.3899999999999998E-2</v>
          </cell>
          <cell r="H108">
            <v>2.5600000000000001E-2</v>
          </cell>
          <cell r="I108">
            <v>2.9399999999999999E-2</v>
          </cell>
          <cell r="O108">
            <v>0</v>
          </cell>
          <cell r="P108" t="str">
            <v>Honduras - modelled</v>
          </cell>
          <cell r="Q108">
            <v>2.9399999999999999E-2</v>
          </cell>
          <cell r="S108">
            <v>0</v>
          </cell>
          <cell r="T108">
            <v>0</v>
          </cell>
          <cell r="U108">
            <v>0</v>
          </cell>
        </row>
        <row r="109">
          <cell r="C109" t="str">
            <v>Estonia</v>
          </cell>
          <cell r="D109">
            <v>2.0399999999999998E-2</v>
          </cell>
          <cell r="E109">
            <v>2.1000000000000001E-2</v>
          </cell>
          <cell r="F109">
            <v>2.2600000000000002E-2</v>
          </cell>
          <cell r="G109">
            <v>2.46E-2</v>
          </cell>
          <cell r="H109">
            <v>2.8000000000000001E-2</v>
          </cell>
          <cell r="I109">
            <v>2.8899999999999999E-2</v>
          </cell>
          <cell r="O109">
            <v>0</v>
          </cell>
          <cell r="P109" t="str">
            <v>Estonia</v>
          </cell>
          <cell r="Q109">
            <v>2.8899999999999999E-2</v>
          </cell>
          <cell r="S109">
            <v>0</v>
          </cell>
          <cell r="T109">
            <v>0</v>
          </cell>
          <cell r="U109">
            <v>0</v>
          </cell>
        </row>
        <row r="110">
          <cell r="C110" t="str">
            <v>Bolivia</v>
          </cell>
          <cell r="D110">
            <v>2.3300000000000001E-2</v>
          </cell>
          <cell r="E110">
            <v>2.3600000000000003E-2</v>
          </cell>
          <cell r="F110">
            <v>2.4500000000000001E-2</v>
          </cell>
          <cell r="G110">
            <v>2.5499999999999998E-2</v>
          </cell>
          <cell r="H110">
            <v>2.7699999999999999E-2</v>
          </cell>
          <cell r="I110">
            <v>2.8799999999999999E-2</v>
          </cell>
          <cell r="O110">
            <v>0</v>
          </cell>
          <cell r="P110" t="str">
            <v>Bolivia</v>
          </cell>
          <cell r="Q110">
            <v>2.8799999999999999E-2</v>
          </cell>
          <cell r="S110">
            <v>0</v>
          </cell>
          <cell r="T110">
            <v>0</v>
          </cell>
          <cell r="U110">
            <v>0</v>
          </cell>
        </row>
        <row r="111">
          <cell r="C111" t="str">
            <v>Yemen - modelled</v>
          </cell>
          <cell r="D111">
            <v>1.9899999999999998E-2</v>
          </cell>
          <cell r="E111">
            <v>2.0199999999999999E-2</v>
          </cell>
          <cell r="F111">
            <v>2.06E-2</v>
          </cell>
          <cell r="G111">
            <v>2.1299999999999999E-2</v>
          </cell>
          <cell r="H111">
            <v>2.3E-2</v>
          </cell>
          <cell r="I111">
            <v>2.52E-2</v>
          </cell>
          <cell r="O111">
            <v>0</v>
          </cell>
          <cell r="P111" t="str">
            <v>Yemen - modelled</v>
          </cell>
          <cell r="Q111">
            <v>2.52E-2</v>
          </cell>
          <cell r="S111">
            <v>0</v>
          </cell>
          <cell r="T111">
            <v>0</v>
          </cell>
          <cell r="U111">
            <v>0</v>
          </cell>
        </row>
        <row r="112">
          <cell r="C112" t="str">
            <v>Paraguay - modelled</v>
          </cell>
          <cell r="D112">
            <v>2.63E-2</v>
          </cell>
          <cell r="E112">
            <v>2.5000000000000001E-2</v>
          </cell>
          <cell r="F112">
            <v>2.2600000000000002E-2</v>
          </cell>
          <cell r="G112">
            <v>2.3800000000000002E-2</v>
          </cell>
          <cell r="H112">
            <v>2.3800000000000002E-2</v>
          </cell>
          <cell r="I112">
            <v>2.5000000000000001E-2</v>
          </cell>
          <cell r="O112">
            <v>0</v>
          </cell>
          <cell r="P112" t="str">
            <v>Paraguay - modelled</v>
          </cell>
          <cell r="Q112">
            <v>2.5000000000000001E-2</v>
          </cell>
          <cell r="S112">
            <v>0</v>
          </cell>
          <cell r="T112">
            <v>0</v>
          </cell>
          <cell r="U112">
            <v>0</v>
          </cell>
        </row>
        <row r="113">
          <cell r="C113" t="str">
            <v>Iceland - modelled</v>
          </cell>
          <cell r="D113">
            <v>2.3699999999999999E-2</v>
          </cell>
          <cell r="E113">
            <v>2.3300000000000001E-2</v>
          </cell>
          <cell r="F113">
            <v>2.3100000000000002E-2</v>
          </cell>
          <cell r="G113">
            <v>2.4E-2</v>
          </cell>
          <cell r="H113">
            <v>2.29E-2</v>
          </cell>
          <cell r="I113">
            <v>2.3E-2</v>
          </cell>
          <cell r="O113">
            <v>0</v>
          </cell>
          <cell r="P113" t="str">
            <v>Iceland - modelled</v>
          </cell>
          <cell r="Q113">
            <v>2.3E-2</v>
          </cell>
          <cell r="S113">
            <v>0</v>
          </cell>
          <cell r="T113">
            <v>0</v>
          </cell>
          <cell r="U113">
            <v>0</v>
          </cell>
        </row>
        <row r="114">
          <cell r="C114" t="str">
            <v>Papua New Guinea - modelled</v>
          </cell>
          <cell r="D114">
            <v>2.12E-2</v>
          </cell>
          <cell r="E114">
            <v>2.3199999999999998E-2</v>
          </cell>
          <cell r="F114">
            <v>2.4199999999999999E-2</v>
          </cell>
          <cell r="G114">
            <v>2.3800000000000002E-2</v>
          </cell>
          <cell r="H114">
            <v>2.1499999999999998E-2</v>
          </cell>
          <cell r="I114">
            <v>2.1899999999999999E-2</v>
          </cell>
          <cell r="O114">
            <v>0</v>
          </cell>
          <cell r="P114" t="str">
            <v>Papua New Guinea - modelled</v>
          </cell>
          <cell r="Q114">
            <v>2.1899999999999999E-2</v>
          </cell>
          <cell r="S114">
            <v>0</v>
          </cell>
          <cell r="T114">
            <v>0</v>
          </cell>
          <cell r="U114">
            <v>0</v>
          </cell>
        </row>
        <row r="115">
          <cell r="C115" t="str">
            <v>Uganda - modelled</v>
          </cell>
          <cell r="D115">
            <v>1.0800000000000001E-2</v>
          </cell>
          <cell r="E115">
            <v>1.0199999999999999E-2</v>
          </cell>
          <cell r="F115">
            <v>1.26E-2</v>
          </cell>
          <cell r="G115">
            <v>1.4500000000000001E-2</v>
          </cell>
          <cell r="H115">
            <v>1.67E-2</v>
          </cell>
          <cell r="I115">
            <v>2.1000000000000001E-2</v>
          </cell>
          <cell r="O115">
            <v>0</v>
          </cell>
          <cell r="P115" t="str">
            <v>Uganda - modelled</v>
          </cell>
          <cell r="Q115">
            <v>2.1000000000000001E-2</v>
          </cell>
          <cell r="S115">
            <v>0</v>
          </cell>
          <cell r="T115">
            <v>0</v>
          </cell>
          <cell r="U115">
            <v>0</v>
          </cell>
        </row>
        <row r="116">
          <cell r="C116" t="str">
            <v>Cameroon</v>
          </cell>
          <cell r="D116">
            <v>1.2500000000000001E-2</v>
          </cell>
          <cell r="E116">
            <v>1.3900000000000001E-2</v>
          </cell>
          <cell r="F116">
            <v>1.55E-2</v>
          </cell>
          <cell r="G116">
            <v>1.66E-2</v>
          </cell>
          <cell r="H116">
            <v>1.72E-2</v>
          </cell>
          <cell r="I116">
            <v>1.7899999999999999E-2</v>
          </cell>
          <cell r="O116">
            <v>0</v>
          </cell>
          <cell r="P116" t="str">
            <v>Cameroon</v>
          </cell>
          <cell r="Q116">
            <v>1.7899999999999999E-2</v>
          </cell>
          <cell r="S116">
            <v>0</v>
          </cell>
          <cell r="T116">
            <v>0</v>
          </cell>
          <cell r="U116">
            <v>0</v>
          </cell>
        </row>
        <row r="117">
          <cell r="C117" t="str">
            <v>Cyprus - modelled</v>
          </cell>
          <cell r="D117">
            <v>2.1000000000000001E-2</v>
          </cell>
          <cell r="E117">
            <v>2.12E-2</v>
          </cell>
          <cell r="F117">
            <v>2.1700000000000001E-2</v>
          </cell>
          <cell r="G117">
            <v>2.1899999999999999E-2</v>
          </cell>
          <cell r="H117">
            <v>2.0799999999999999E-2</v>
          </cell>
          <cell r="I117">
            <v>1.78E-2</v>
          </cell>
          <cell r="O117">
            <v>0</v>
          </cell>
          <cell r="P117" t="str">
            <v>Cyprus - modelled</v>
          </cell>
          <cell r="Q117">
            <v>1.78E-2</v>
          </cell>
          <cell r="S117">
            <v>0</v>
          </cell>
          <cell r="T117">
            <v>0</v>
          </cell>
          <cell r="U117">
            <v>0</v>
          </cell>
        </row>
        <row r="118">
          <cell r="C118" t="str">
            <v>Jamaica - modelled</v>
          </cell>
          <cell r="D118">
            <v>1.34E-2</v>
          </cell>
          <cell r="E118">
            <v>1.46E-2</v>
          </cell>
          <cell r="F118">
            <v>1.35E-2</v>
          </cell>
          <cell r="G118">
            <v>1.44E-2</v>
          </cell>
          <cell r="H118">
            <v>1.5300000000000001E-2</v>
          </cell>
          <cell r="I118">
            <v>1.7299999999999999E-2</v>
          </cell>
          <cell r="O118">
            <v>0</v>
          </cell>
          <cell r="P118" t="str">
            <v>Jamaica - modelled</v>
          </cell>
          <cell r="Q118">
            <v>1.7299999999999999E-2</v>
          </cell>
          <cell r="S118">
            <v>0</v>
          </cell>
          <cell r="T118">
            <v>0</v>
          </cell>
          <cell r="U118">
            <v>0</v>
          </cell>
        </row>
        <row r="119">
          <cell r="C119" t="str">
            <v>Madagascar - modelled</v>
          </cell>
          <cell r="D119">
            <v>8.9999999999999993E-3</v>
          </cell>
          <cell r="E119">
            <v>8.5000000000000006E-3</v>
          </cell>
          <cell r="F119">
            <v>1.0500000000000001E-2</v>
          </cell>
          <cell r="G119">
            <v>1.21E-2</v>
          </cell>
          <cell r="H119">
            <v>1.3800000000000002E-2</v>
          </cell>
          <cell r="I119">
            <v>1.7299999999999999E-2</v>
          </cell>
          <cell r="O119">
            <v>0</v>
          </cell>
          <cell r="P119" t="str">
            <v>Madagascar - modelled</v>
          </cell>
          <cell r="Q119">
            <v>1.7299999999999999E-2</v>
          </cell>
          <cell r="S119">
            <v>0</v>
          </cell>
          <cell r="T119">
            <v>0</v>
          </cell>
          <cell r="U119">
            <v>0</v>
          </cell>
        </row>
        <row r="120">
          <cell r="C120" t="str">
            <v>Jordan - modelled</v>
          </cell>
          <cell r="D120">
            <v>1.1800000000000001E-2</v>
          </cell>
          <cell r="E120">
            <v>1.2800000000000001E-2</v>
          </cell>
          <cell r="F120">
            <v>1.29E-2</v>
          </cell>
          <cell r="G120">
            <v>1.3599999999999999E-2</v>
          </cell>
          <cell r="H120">
            <v>1.4999999999999999E-2</v>
          </cell>
          <cell r="I120">
            <v>1.6300000000000002E-2</v>
          </cell>
          <cell r="O120">
            <v>0</v>
          </cell>
          <cell r="P120" t="str">
            <v>Jordan - modelled</v>
          </cell>
          <cell r="Q120">
            <v>1.6300000000000002E-2</v>
          </cell>
          <cell r="S120">
            <v>0</v>
          </cell>
          <cell r="T120">
            <v>0</v>
          </cell>
          <cell r="U120">
            <v>0</v>
          </cell>
        </row>
        <row r="121">
          <cell r="C121" t="str">
            <v>Côte d'Ivoire - modelled</v>
          </cell>
          <cell r="D121">
            <v>1.55E-2</v>
          </cell>
          <cell r="E121">
            <v>1.4800000000000001E-2</v>
          </cell>
          <cell r="F121">
            <v>1.55E-2</v>
          </cell>
          <cell r="G121">
            <v>1.6E-2</v>
          </cell>
          <cell r="H121">
            <v>1.5900000000000001E-2</v>
          </cell>
          <cell r="I121">
            <v>1.61E-2</v>
          </cell>
          <cell r="O121">
            <v>0</v>
          </cell>
          <cell r="P121" t="str">
            <v>Côte d'Ivoire - modelled</v>
          </cell>
          <cell r="Q121">
            <v>1.61E-2</v>
          </cell>
          <cell r="S121">
            <v>0</v>
          </cell>
          <cell r="T121">
            <v>0</v>
          </cell>
          <cell r="U121">
            <v>0</v>
          </cell>
        </row>
        <row r="122">
          <cell r="C122" t="str">
            <v>Angola - modelled</v>
          </cell>
          <cell r="D122">
            <v>8.0999999999999996E-3</v>
          </cell>
          <cell r="E122">
            <v>7.6E-3</v>
          </cell>
          <cell r="F122">
            <v>9.4999999999999998E-3</v>
          </cell>
          <cell r="G122">
            <v>1.09E-2</v>
          </cell>
          <cell r="H122">
            <v>1.2500000000000001E-2</v>
          </cell>
          <cell r="I122">
            <v>1.5599999999999999E-2</v>
          </cell>
          <cell r="O122">
            <v>0</v>
          </cell>
          <cell r="P122" t="str">
            <v>Angola - modelled</v>
          </cell>
          <cell r="Q122">
            <v>1.5599999999999999E-2</v>
          </cell>
          <cell r="S122">
            <v>0</v>
          </cell>
          <cell r="T122">
            <v>0</v>
          </cell>
          <cell r="U122">
            <v>0</v>
          </cell>
        </row>
        <row r="123">
          <cell r="C123" t="str">
            <v>Armenia - modelled</v>
          </cell>
          <cell r="D123">
            <v>1.23E-2</v>
          </cell>
          <cell r="E123">
            <v>1.2500000000000001E-2</v>
          </cell>
          <cell r="F123">
            <v>1.24E-2</v>
          </cell>
          <cell r="G123">
            <v>1.41E-2</v>
          </cell>
          <cell r="H123">
            <v>1.4500000000000001E-2</v>
          </cell>
          <cell r="I123">
            <v>1.54E-2</v>
          </cell>
          <cell r="O123">
            <v>0</v>
          </cell>
          <cell r="P123" t="str">
            <v>Armenia - modelled</v>
          </cell>
          <cell r="Q123">
            <v>1.54E-2</v>
          </cell>
          <cell r="S123">
            <v>0</v>
          </cell>
          <cell r="T123">
            <v>0</v>
          </cell>
          <cell r="U123">
            <v>0</v>
          </cell>
        </row>
        <row r="124">
          <cell r="C124" t="str">
            <v>Nicaragua - modelled</v>
          </cell>
          <cell r="D124">
            <v>1.15E-2</v>
          </cell>
          <cell r="E124">
            <v>1.2500000000000001E-2</v>
          </cell>
          <cell r="F124">
            <v>1.1599999999999999E-2</v>
          </cell>
          <cell r="G124">
            <v>1.24E-2</v>
          </cell>
          <cell r="H124">
            <v>1.3300000000000001E-2</v>
          </cell>
          <cell r="I124">
            <v>1.52E-2</v>
          </cell>
          <cell r="O124">
            <v>0</v>
          </cell>
          <cell r="P124" t="str">
            <v>Nicaragua - modelled</v>
          </cell>
          <cell r="Q124">
            <v>1.52E-2</v>
          </cell>
          <cell r="S124">
            <v>0</v>
          </cell>
          <cell r="T124">
            <v>0</v>
          </cell>
          <cell r="U124">
            <v>0</v>
          </cell>
        </row>
        <row r="125">
          <cell r="C125" t="str">
            <v>Nepal - modelled</v>
          </cell>
          <cell r="D125">
            <v>1.06E-2</v>
          </cell>
          <cell r="E125">
            <v>1.09E-2</v>
          </cell>
          <cell r="F125">
            <v>1.1300000000000001E-2</v>
          </cell>
          <cell r="G125">
            <v>1.2500000000000001E-2</v>
          </cell>
          <cell r="H125">
            <v>1.2699999999999999E-2</v>
          </cell>
          <cell r="I125">
            <v>1.47E-2</v>
          </cell>
          <cell r="O125">
            <v>0</v>
          </cell>
          <cell r="P125" t="str">
            <v>Nepal - modelled</v>
          </cell>
          <cell r="Q125">
            <v>1.47E-2</v>
          </cell>
          <cell r="S125">
            <v>0</v>
          </cell>
          <cell r="T125">
            <v>0</v>
          </cell>
          <cell r="U125">
            <v>0</v>
          </cell>
        </row>
        <row r="126">
          <cell r="C126" t="str">
            <v>Botswana - modelled</v>
          </cell>
          <cell r="D126">
            <v>7.7000000000000002E-3</v>
          </cell>
          <cell r="E126">
            <v>7.1999999999999998E-3</v>
          </cell>
          <cell r="F126">
            <v>8.9999999999999993E-3</v>
          </cell>
          <cell r="G126">
            <v>1.0500000000000001E-2</v>
          </cell>
          <cell r="H126">
            <v>1.1800000000000001E-2</v>
          </cell>
          <cell r="I126">
            <v>1.4500000000000001E-2</v>
          </cell>
          <cell r="O126">
            <v>0</v>
          </cell>
          <cell r="P126" t="str">
            <v>Botswana - modelled</v>
          </cell>
          <cell r="Q126">
            <v>1.4500000000000001E-2</v>
          </cell>
          <cell r="S126">
            <v>0</v>
          </cell>
          <cell r="T126">
            <v>0</v>
          </cell>
          <cell r="U126">
            <v>0</v>
          </cell>
        </row>
        <row r="127">
          <cell r="C127" t="str">
            <v>Macedonia</v>
          </cell>
          <cell r="D127">
            <v>9.8000000000000014E-3</v>
          </cell>
          <cell r="E127">
            <v>1.0199999999999999E-2</v>
          </cell>
          <cell r="F127">
            <v>1.0699999999999999E-2</v>
          </cell>
          <cell r="G127">
            <v>1.15E-2</v>
          </cell>
          <cell r="H127">
            <v>1.23E-2</v>
          </cell>
          <cell r="I127">
            <v>1.3599999999999999E-2</v>
          </cell>
          <cell r="O127">
            <v>0</v>
          </cell>
          <cell r="P127" t="str">
            <v>Macedonia</v>
          </cell>
          <cell r="Q127">
            <v>1.3599999999999999E-2</v>
          </cell>
          <cell r="S127">
            <v>0</v>
          </cell>
          <cell r="T127">
            <v>0</v>
          </cell>
          <cell r="U127">
            <v>0</v>
          </cell>
        </row>
        <row r="128">
          <cell r="C128" t="str">
            <v>Turkmenistan - modelled</v>
          </cell>
          <cell r="D128">
            <v>1.3300000000000001E-2</v>
          </cell>
          <cell r="E128">
            <v>1.23E-2</v>
          </cell>
          <cell r="F128">
            <v>1.1699999999999999E-2</v>
          </cell>
          <cell r="G128">
            <v>1.23E-2</v>
          </cell>
          <cell r="H128">
            <v>1.2800000000000001E-2</v>
          </cell>
          <cell r="I128">
            <v>1.35E-2</v>
          </cell>
          <cell r="O128">
            <v>0</v>
          </cell>
          <cell r="P128" t="str">
            <v>Turkmenistan - modelled</v>
          </cell>
          <cell r="Q128">
            <v>1.35E-2</v>
          </cell>
          <cell r="S128">
            <v>0</v>
          </cell>
          <cell r="T128">
            <v>0</v>
          </cell>
          <cell r="U128">
            <v>0</v>
          </cell>
        </row>
        <row r="129">
          <cell r="C129" t="str">
            <v>Libya - modelled</v>
          </cell>
          <cell r="D129">
            <v>1.09E-2</v>
          </cell>
          <cell r="E129">
            <v>1.11E-2</v>
          </cell>
          <cell r="F129">
            <v>1.1300000000000001E-2</v>
          </cell>
          <cell r="G129">
            <v>1.1699999999999999E-2</v>
          </cell>
          <cell r="H129">
            <v>1.24E-2</v>
          </cell>
          <cell r="I129">
            <v>1.35E-2</v>
          </cell>
          <cell r="O129">
            <v>0</v>
          </cell>
          <cell r="P129" t="str">
            <v>Libya - modelled</v>
          </cell>
          <cell r="Q129">
            <v>1.35E-2</v>
          </cell>
          <cell r="S129">
            <v>0</v>
          </cell>
          <cell r="T129">
            <v>0</v>
          </cell>
          <cell r="U129">
            <v>0</v>
          </cell>
        </row>
        <row r="130">
          <cell r="C130" t="str">
            <v>Luxembourg - modelled</v>
          </cell>
          <cell r="D130">
            <v>1.66E-2</v>
          </cell>
          <cell r="E130">
            <v>1.5099999999999999E-2</v>
          </cell>
          <cell r="F130">
            <v>1.4999999999999999E-2</v>
          </cell>
          <cell r="G130">
            <v>1.4800000000000001E-2</v>
          </cell>
          <cell r="H130">
            <v>1.3900000000000001E-2</v>
          </cell>
          <cell r="I130">
            <v>1.35E-2</v>
          </cell>
          <cell r="O130">
            <v>0</v>
          </cell>
          <cell r="P130" t="str">
            <v>Luxembourg - modelled</v>
          </cell>
          <cell r="Q130">
            <v>1.35E-2</v>
          </cell>
          <cell r="S130">
            <v>0</v>
          </cell>
          <cell r="T130">
            <v>0</v>
          </cell>
          <cell r="U130">
            <v>0</v>
          </cell>
        </row>
        <row r="131">
          <cell r="C131" t="str">
            <v>Haiti - modelled</v>
          </cell>
          <cell r="D131">
            <v>0.01</v>
          </cell>
          <cell r="E131">
            <v>1.09E-2</v>
          </cell>
          <cell r="F131">
            <v>1.01E-2</v>
          </cell>
          <cell r="G131">
            <v>1.0800000000000001E-2</v>
          </cell>
          <cell r="H131">
            <v>1.14E-2</v>
          </cell>
          <cell r="I131">
            <v>1.3099999999999999E-2</v>
          </cell>
          <cell r="O131">
            <v>0</v>
          </cell>
          <cell r="P131" t="str">
            <v>Haiti - modelled</v>
          </cell>
          <cell r="Q131">
            <v>1.3099999999999999E-2</v>
          </cell>
          <cell r="S131">
            <v>0</v>
          </cell>
          <cell r="T131">
            <v>0</v>
          </cell>
          <cell r="U131">
            <v>0</v>
          </cell>
        </row>
        <row r="132">
          <cell r="C132" t="str">
            <v>Ghana - modelled</v>
          </cell>
          <cell r="D132">
            <v>1.2E-2</v>
          </cell>
          <cell r="E132">
            <v>1.15E-2</v>
          </cell>
          <cell r="F132">
            <v>1.2E-2</v>
          </cell>
          <cell r="G132">
            <v>1.24E-2</v>
          </cell>
          <cell r="H132">
            <v>1.24E-2</v>
          </cell>
          <cell r="I132">
            <v>1.2500000000000001E-2</v>
          </cell>
          <cell r="O132">
            <v>0</v>
          </cell>
          <cell r="P132" t="str">
            <v>Ghana - modelled</v>
          </cell>
          <cell r="Q132">
            <v>1.2500000000000001E-2</v>
          </cell>
          <cell r="S132">
            <v>0</v>
          </cell>
          <cell r="T132">
            <v>0</v>
          </cell>
          <cell r="U132">
            <v>0</v>
          </cell>
        </row>
        <row r="133">
          <cell r="C133" t="str">
            <v>Sudan - modelled</v>
          </cell>
          <cell r="D133">
            <v>9.1000000000000004E-3</v>
          </cell>
          <cell r="E133">
            <v>9.9000000000000008E-3</v>
          </cell>
          <cell r="F133">
            <v>0.01</v>
          </cell>
          <cell r="G133">
            <v>1.0500000000000001E-2</v>
          </cell>
          <cell r="H133">
            <v>1.1599999999999999E-2</v>
          </cell>
          <cell r="I133">
            <v>1.24E-2</v>
          </cell>
          <cell r="O133">
            <v>0</v>
          </cell>
          <cell r="P133" t="str">
            <v>Sudan - modelled</v>
          </cell>
          <cell r="Q133">
            <v>1.24E-2</v>
          </cell>
          <cell r="S133">
            <v>0</v>
          </cell>
          <cell r="T133">
            <v>0</v>
          </cell>
          <cell r="U133">
            <v>0</v>
          </cell>
        </row>
        <row r="134">
          <cell r="C134" t="str">
            <v>Zimbabwe - modelled</v>
          </cell>
          <cell r="D134">
            <v>6.1999999999999998E-3</v>
          </cell>
          <cell r="E134">
            <v>5.7999999999999996E-3</v>
          </cell>
          <cell r="F134">
            <v>7.1999999999999998E-3</v>
          </cell>
          <cell r="G134">
            <v>8.3000000000000001E-3</v>
          </cell>
          <cell r="H134">
            <v>9.1999999999999998E-3</v>
          </cell>
          <cell r="I134">
            <v>1.1300000000000001E-2</v>
          </cell>
          <cell r="O134">
            <v>0</v>
          </cell>
          <cell r="P134" t="str">
            <v>Zimbabwe - modelled</v>
          </cell>
          <cell r="Q134">
            <v>1.1300000000000001E-2</v>
          </cell>
          <cell r="S134">
            <v>0</v>
          </cell>
          <cell r="T134">
            <v>0</v>
          </cell>
          <cell r="U134">
            <v>0</v>
          </cell>
        </row>
        <row r="135">
          <cell r="C135" t="str">
            <v>Mozambique - modelled</v>
          </cell>
          <cell r="D135">
            <v>5.7999999999999996E-3</v>
          </cell>
          <cell r="E135">
            <v>5.4999999999999997E-3</v>
          </cell>
          <cell r="F135">
            <v>6.9000000000000008E-3</v>
          </cell>
          <cell r="G135">
            <v>7.9000000000000008E-3</v>
          </cell>
          <cell r="H135">
            <v>8.8999999999999999E-3</v>
          </cell>
          <cell r="I135">
            <v>1.11E-2</v>
          </cell>
          <cell r="O135">
            <v>0</v>
          </cell>
          <cell r="P135" t="str">
            <v>Mozambique - modelled</v>
          </cell>
          <cell r="Q135">
            <v>1.11E-2</v>
          </cell>
          <cell r="S135">
            <v>0</v>
          </cell>
          <cell r="T135">
            <v>0</v>
          </cell>
          <cell r="U135">
            <v>0</v>
          </cell>
        </row>
        <row r="136">
          <cell r="C136" t="str">
            <v>Iraq - modelled</v>
          </cell>
          <cell r="D136">
            <v>0.01</v>
          </cell>
          <cell r="E136">
            <v>8.8000000000000005E-3</v>
          </cell>
          <cell r="F136">
            <v>8.8999999999999999E-3</v>
          </cell>
          <cell r="G136">
            <v>9.1999999999999998E-3</v>
          </cell>
          <cell r="H136">
            <v>9.9000000000000008E-3</v>
          </cell>
          <cell r="I136">
            <v>1.0699999999999999E-2</v>
          </cell>
          <cell r="O136">
            <v>0</v>
          </cell>
          <cell r="P136" t="str">
            <v>Iraq - modelled</v>
          </cell>
          <cell r="Q136">
            <v>1.0699999999999999E-2</v>
          </cell>
          <cell r="S136">
            <v>0</v>
          </cell>
          <cell r="T136">
            <v>0</v>
          </cell>
          <cell r="U136">
            <v>0</v>
          </cell>
        </row>
        <row r="137">
          <cell r="C137" t="str">
            <v>Albania - modelled</v>
          </cell>
          <cell r="D137">
            <v>7.7000000000000002E-3</v>
          </cell>
          <cell r="E137">
            <v>8.5000000000000006E-3</v>
          </cell>
          <cell r="F137">
            <v>8.8000000000000005E-3</v>
          </cell>
          <cell r="G137">
            <v>9.4000000000000004E-3</v>
          </cell>
          <cell r="H137">
            <v>9.300000000000001E-3</v>
          </cell>
          <cell r="I137">
            <v>1.04E-2</v>
          </cell>
          <cell r="O137">
            <v>0</v>
          </cell>
          <cell r="P137" t="str">
            <v>Albania - modelled</v>
          </cell>
          <cell r="Q137">
            <v>1.04E-2</v>
          </cell>
          <cell r="S137">
            <v>0</v>
          </cell>
          <cell r="T137">
            <v>0</v>
          </cell>
          <cell r="U137">
            <v>0</v>
          </cell>
        </row>
        <row r="138">
          <cell r="C138" t="str">
            <v>Trinidad and Tobago - modelled</v>
          </cell>
          <cell r="D138">
            <v>4.3E-3</v>
          </cell>
          <cell r="E138">
            <v>5.4000000000000003E-3</v>
          </cell>
          <cell r="F138">
            <v>5.1999999999999998E-3</v>
          </cell>
          <cell r="G138">
            <v>6.4999999999999997E-3</v>
          </cell>
          <cell r="H138">
            <v>8.0999999999999996E-3</v>
          </cell>
          <cell r="I138">
            <v>1.01E-2</v>
          </cell>
          <cell r="O138">
            <v>0</v>
          </cell>
          <cell r="P138" t="str">
            <v>Trinidad and Tobago - modelled</v>
          </cell>
          <cell r="Q138">
            <v>1.01E-2</v>
          </cell>
          <cell r="S138">
            <v>0</v>
          </cell>
          <cell r="T138">
            <v>0</v>
          </cell>
          <cell r="U138">
            <v>0</v>
          </cell>
        </row>
        <row r="139">
          <cell r="C139" t="str">
            <v>Zambia - modelled</v>
          </cell>
          <cell r="D139">
            <v>5.0999999999999995E-3</v>
          </cell>
          <cell r="E139">
            <v>4.7999999999999996E-3</v>
          </cell>
          <cell r="F139">
            <v>6.0000000000000001E-3</v>
          </cell>
          <cell r="G139">
            <v>6.9000000000000008E-3</v>
          </cell>
          <cell r="H139">
            <v>7.7999999999999996E-3</v>
          </cell>
          <cell r="I139">
            <v>9.5999999999999992E-3</v>
          </cell>
          <cell r="O139">
            <v>0</v>
          </cell>
          <cell r="P139" t="str">
            <v>Zambia - modelled</v>
          </cell>
          <cell r="Q139">
            <v>9.5999999999999992E-3</v>
          </cell>
          <cell r="S139">
            <v>0</v>
          </cell>
          <cell r="T139">
            <v>0</v>
          </cell>
          <cell r="U139">
            <v>0</v>
          </cell>
        </row>
        <row r="140">
          <cell r="C140" t="str">
            <v>Moldova - modelled</v>
          </cell>
          <cell r="D140">
            <v>7.0999999999999995E-3</v>
          </cell>
          <cell r="E140">
            <v>7.7999999999999996E-3</v>
          </cell>
          <cell r="F140">
            <v>8.0999999999999996E-3</v>
          </cell>
          <cell r="G140">
            <v>8.6E-3</v>
          </cell>
          <cell r="H140">
            <v>8.5000000000000006E-3</v>
          </cell>
          <cell r="I140">
            <v>9.300000000000001E-3</v>
          </cell>
          <cell r="O140">
            <v>0</v>
          </cell>
          <cell r="P140" t="str">
            <v>Moldova - modelled</v>
          </cell>
          <cell r="Q140">
            <v>9.300000000000001E-3</v>
          </cell>
          <cell r="S140">
            <v>0</v>
          </cell>
          <cell r="T140">
            <v>0</v>
          </cell>
          <cell r="U140">
            <v>0</v>
          </cell>
        </row>
        <row r="141">
          <cell r="C141" t="str">
            <v>Panama - modelled</v>
          </cell>
          <cell r="D141">
            <v>7.0000000000000001E-3</v>
          </cell>
          <cell r="E141">
            <v>7.6E-3</v>
          </cell>
          <cell r="F141">
            <v>7.0999999999999995E-3</v>
          </cell>
          <cell r="G141">
            <v>7.6E-3</v>
          </cell>
          <cell r="H141">
            <v>8.0999999999999996E-3</v>
          </cell>
          <cell r="I141">
            <v>9.300000000000001E-3</v>
          </cell>
          <cell r="O141">
            <v>0</v>
          </cell>
          <cell r="P141" t="str">
            <v>Panama - modelled</v>
          </cell>
          <cell r="Q141">
            <v>9.300000000000001E-3</v>
          </cell>
          <cell r="S141">
            <v>0</v>
          </cell>
          <cell r="T141">
            <v>0</v>
          </cell>
          <cell r="U141">
            <v>0</v>
          </cell>
        </row>
        <row r="142">
          <cell r="C142" t="str">
            <v>Congo-Brazzaville - modelled</v>
          </cell>
          <cell r="D142">
            <v>4.7999999999999996E-3</v>
          </cell>
          <cell r="E142">
            <v>4.4999999999999997E-3</v>
          </cell>
          <cell r="F142">
            <v>5.5999999999999999E-3</v>
          </cell>
          <cell r="G142">
            <v>6.4999999999999997E-3</v>
          </cell>
          <cell r="H142">
            <v>7.4000000000000003E-3</v>
          </cell>
          <cell r="I142">
            <v>9.1999999999999998E-3</v>
          </cell>
          <cell r="O142">
            <v>0</v>
          </cell>
          <cell r="P142" t="str">
            <v>Congo-Brazzaville - modelled</v>
          </cell>
          <cell r="Q142">
            <v>9.1999999999999998E-3</v>
          </cell>
          <cell r="S142">
            <v>0</v>
          </cell>
          <cell r="T142">
            <v>0</v>
          </cell>
          <cell r="U142">
            <v>0</v>
          </cell>
        </row>
        <row r="143">
          <cell r="C143" t="str">
            <v>Bahrain - modelled</v>
          </cell>
          <cell r="D143">
            <v>7.0999999999999995E-3</v>
          </cell>
          <cell r="E143">
            <v>7.3000000000000001E-3</v>
          </cell>
          <cell r="F143">
            <v>7.4000000000000003E-3</v>
          </cell>
          <cell r="G143">
            <v>7.7000000000000002E-3</v>
          </cell>
          <cell r="H143">
            <v>8.199999999999999E-3</v>
          </cell>
          <cell r="I143">
            <v>8.8999999999999999E-3</v>
          </cell>
          <cell r="O143">
            <v>0</v>
          </cell>
          <cell r="P143" t="str">
            <v>Bahrain - modelled</v>
          </cell>
          <cell r="Q143">
            <v>8.8999999999999999E-3</v>
          </cell>
          <cell r="S143">
            <v>0</v>
          </cell>
          <cell r="T143">
            <v>0</v>
          </cell>
          <cell r="U143">
            <v>0</v>
          </cell>
        </row>
        <row r="144">
          <cell r="C144" t="str">
            <v>Ethiopia - modelled</v>
          </cell>
          <cell r="D144">
            <v>6.0000000000000001E-3</v>
          </cell>
          <cell r="E144">
            <v>6.6E-3</v>
          </cell>
          <cell r="F144">
            <v>6.6E-3</v>
          </cell>
          <cell r="G144">
            <v>6.9000000000000008E-3</v>
          </cell>
          <cell r="H144">
            <v>7.7000000000000002E-3</v>
          </cell>
          <cell r="I144">
            <v>8.199999999999999E-3</v>
          </cell>
          <cell r="O144">
            <v>0</v>
          </cell>
          <cell r="P144" t="str">
            <v>Ethiopia - modelled</v>
          </cell>
          <cell r="Q144">
            <v>8.199999999999999E-3</v>
          </cell>
          <cell r="S144">
            <v>0</v>
          </cell>
          <cell r="T144">
            <v>0</v>
          </cell>
          <cell r="U144">
            <v>0</v>
          </cell>
        </row>
        <row r="145">
          <cell r="C145" t="str">
            <v>Gabon - modelled</v>
          </cell>
          <cell r="D145">
            <v>6.1999999999999998E-3</v>
          </cell>
          <cell r="E145">
            <v>6.4000000000000003E-3</v>
          </cell>
          <cell r="F145">
            <v>6.4999999999999997E-3</v>
          </cell>
          <cell r="G145">
            <v>6.7000000000000002E-3</v>
          </cell>
          <cell r="H145">
            <v>7.0999999999999995E-3</v>
          </cell>
          <cell r="I145">
            <v>7.7000000000000002E-3</v>
          </cell>
          <cell r="O145">
            <v>0</v>
          </cell>
          <cell r="P145" t="str">
            <v>Gabon - modelled</v>
          </cell>
          <cell r="Q145">
            <v>7.7000000000000002E-3</v>
          </cell>
          <cell r="S145">
            <v>0</v>
          </cell>
          <cell r="T145">
            <v>0</v>
          </cell>
          <cell r="U145">
            <v>0</v>
          </cell>
        </row>
        <row r="146">
          <cell r="C146" t="str">
            <v>Myanmar - modelled</v>
          </cell>
          <cell r="D146">
            <v>7.9000000000000008E-3</v>
          </cell>
          <cell r="E146">
            <v>7.9000000000000008E-3</v>
          </cell>
          <cell r="F146">
            <v>8.199999999999999E-3</v>
          </cell>
          <cell r="G146">
            <v>7.9000000000000008E-3</v>
          </cell>
          <cell r="H146">
            <v>7.4000000000000003E-3</v>
          </cell>
          <cell r="I146">
            <v>7.4000000000000003E-3</v>
          </cell>
          <cell r="O146">
            <v>0</v>
          </cell>
          <cell r="P146" t="str">
            <v>Myanmar - modelled</v>
          </cell>
          <cell r="Q146">
            <v>7.4000000000000003E-3</v>
          </cell>
          <cell r="S146">
            <v>0</v>
          </cell>
          <cell r="T146">
            <v>0</v>
          </cell>
          <cell r="U146">
            <v>0</v>
          </cell>
        </row>
        <row r="147">
          <cell r="C147" t="str">
            <v>Senegal - modelled</v>
          </cell>
          <cell r="D147">
            <v>6.9000000000000008E-3</v>
          </cell>
          <cell r="E147">
            <v>6.7000000000000002E-3</v>
          </cell>
          <cell r="F147">
            <v>7.0000000000000001E-3</v>
          </cell>
          <cell r="G147">
            <v>7.1999999999999998E-3</v>
          </cell>
          <cell r="H147">
            <v>7.1999999999999998E-3</v>
          </cell>
          <cell r="I147">
            <v>7.3000000000000001E-3</v>
          </cell>
          <cell r="O147">
            <v>0</v>
          </cell>
          <cell r="P147" t="str">
            <v>Senegal - modelled</v>
          </cell>
          <cell r="Q147">
            <v>7.3000000000000001E-3</v>
          </cell>
          <cell r="S147">
            <v>0</v>
          </cell>
          <cell r="T147">
            <v>0</v>
          </cell>
          <cell r="U147">
            <v>0</v>
          </cell>
        </row>
        <row r="148">
          <cell r="C148" t="str">
            <v>Guadeloupe - modelled</v>
          </cell>
          <cell r="D148">
            <v>9.6999999999999986E-3</v>
          </cell>
          <cell r="E148">
            <v>9.1000000000000004E-3</v>
          </cell>
          <cell r="F148">
            <v>8.8999999999999999E-3</v>
          </cell>
          <cell r="G148">
            <v>8.5000000000000006E-3</v>
          </cell>
          <cell r="H148">
            <v>7.7000000000000002E-3</v>
          </cell>
          <cell r="I148">
            <v>7.1999999999999998E-3</v>
          </cell>
          <cell r="O148">
            <v>0</v>
          </cell>
          <cell r="P148" t="str">
            <v>Guadeloupe - modelled</v>
          </cell>
          <cell r="Q148">
            <v>7.1999999999999998E-3</v>
          </cell>
          <cell r="S148">
            <v>0</v>
          </cell>
          <cell r="T148">
            <v>0</v>
          </cell>
          <cell r="U148">
            <v>0</v>
          </cell>
        </row>
        <row r="149">
          <cell r="C149" t="str">
            <v>Réunion - modelled</v>
          </cell>
          <cell r="D149">
            <v>9.5999999999999992E-3</v>
          </cell>
          <cell r="E149">
            <v>8.9999999999999993E-3</v>
          </cell>
          <cell r="F149">
            <v>8.8000000000000005E-3</v>
          </cell>
          <cell r="G149">
            <v>8.4000000000000012E-3</v>
          </cell>
          <cell r="H149">
            <v>7.7000000000000002E-3</v>
          </cell>
          <cell r="I149">
            <v>7.1999999999999998E-3</v>
          </cell>
          <cell r="O149">
            <v>0</v>
          </cell>
          <cell r="P149" t="str">
            <v>Réunion - modelled</v>
          </cell>
          <cell r="Q149">
            <v>7.1999999999999998E-3</v>
          </cell>
          <cell r="S149">
            <v>0</v>
          </cell>
          <cell r="T149">
            <v>0</v>
          </cell>
          <cell r="U149">
            <v>0</v>
          </cell>
        </row>
        <row r="150">
          <cell r="C150" t="str">
            <v>Brunei - modelled</v>
          </cell>
          <cell r="D150">
            <v>7.0999999999999995E-3</v>
          </cell>
          <cell r="E150">
            <v>7.0999999999999995E-3</v>
          </cell>
          <cell r="F150">
            <v>7.1999999999999998E-3</v>
          </cell>
          <cell r="G150">
            <v>7.1999999999999998E-3</v>
          </cell>
          <cell r="H150">
            <v>7.0999999999999995E-3</v>
          </cell>
          <cell r="I150">
            <v>7.0000000000000001E-3</v>
          </cell>
          <cell r="O150">
            <v>0</v>
          </cell>
          <cell r="P150" t="str">
            <v>Brunei - modelled</v>
          </cell>
          <cell r="Q150">
            <v>7.0000000000000001E-3</v>
          </cell>
          <cell r="S150">
            <v>0</v>
          </cell>
          <cell r="T150">
            <v>0</v>
          </cell>
          <cell r="U150">
            <v>0</v>
          </cell>
        </row>
        <row r="151">
          <cell r="C151" t="str">
            <v>Namibia - modelled</v>
          </cell>
          <cell r="D151">
            <v>3.5999999999999999E-3</v>
          </cell>
          <cell r="E151">
            <v>3.3999999999999998E-3</v>
          </cell>
          <cell r="F151">
            <v>4.2000000000000006E-3</v>
          </cell>
          <cell r="G151">
            <v>4.7999999999999996E-3</v>
          </cell>
          <cell r="H151">
            <v>5.4000000000000003E-3</v>
          </cell>
          <cell r="I151">
            <v>6.7000000000000002E-3</v>
          </cell>
          <cell r="O151">
            <v>0</v>
          </cell>
          <cell r="P151" t="str">
            <v>Namibia - modelled</v>
          </cell>
          <cell r="Q151">
            <v>6.7000000000000002E-3</v>
          </cell>
          <cell r="S151">
            <v>0</v>
          </cell>
          <cell r="T151">
            <v>0</v>
          </cell>
          <cell r="U151">
            <v>0</v>
          </cell>
        </row>
        <row r="152">
          <cell r="C152" t="str">
            <v>Qatar - modelled</v>
          </cell>
          <cell r="D152">
            <v>7.7999999999999996E-3</v>
          </cell>
          <cell r="E152">
            <v>7.7999999999999996E-3</v>
          </cell>
          <cell r="F152">
            <v>8.0000000000000002E-3</v>
          </cell>
          <cell r="G152">
            <v>8.0999999999999996E-3</v>
          </cell>
          <cell r="H152">
            <v>7.7000000000000002E-3</v>
          </cell>
          <cell r="I152">
            <v>6.7000000000000002E-3</v>
          </cell>
          <cell r="O152">
            <v>0</v>
          </cell>
          <cell r="P152" t="str">
            <v>Qatar - modelled</v>
          </cell>
          <cell r="Q152">
            <v>6.7000000000000002E-3</v>
          </cell>
          <cell r="S152">
            <v>0</v>
          </cell>
          <cell r="T152">
            <v>0</v>
          </cell>
          <cell r="U152">
            <v>0</v>
          </cell>
        </row>
        <row r="153">
          <cell r="C153" t="str">
            <v>Congo, Democratic Republic - modelled</v>
          </cell>
          <cell r="D153">
            <v>3.3999999999999998E-3</v>
          </cell>
          <cell r="E153">
            <v>3.2000000000000002E-3</v>
          </cell>
          <cell r="F153">
            <v>4.0000000000000001E-3</v>
          </cell>
          <cell r="G153">
            <v>4.4999999999999997E-3</v>
          </cell>
          <cell r="H153">
            <v>5.1999999999999998E-3</v>
          </cell>
          <cell r="I153">
            <v>6.4999999999999997E-3</v>
          </cell>
          <cell r="O153">
            <v>0</v>
          </cell>
          <cell r="P153" t="str">
            <v>Congo, Democratic Republic - modelled</v>
          </cell>
          <cell r="Q153">
            <v>6.4999999999999997E-3</v>
          </cell>
          <cell r="S153">
            <v>0</v>
          </cell>
          <cell r="T153">
            <v>0</v>
          </cell>
          <cell r="U153">
            <v>0</v>
          </cell>
        </row>
        <row r="154">
          <cell r="C154" t="str">
            <v>North Korea - modelled</v>
          </cell>
          <cell r="D154">
            <v>8.5000000000000006E-3</v>
          </cell>
          <cell r="E154">
            <v>9.1000000000000004E-3</v>
          </cell>
          <cell r="F154">
            <v>8.6E-3</v>
          </cell>
          <cell r="G154">
            <v>8.0999999999999996E-3</v>
          </cell>
          <cell r="H154">
            <v>7.7999999999999996E-3</v>
          </cell>
          <cell r="I154">
            <v>6.4000000000000003E-3</v>
          </cell>
          <cell r="O154">
            <v>0</v>
          </cell>
          <cell r="P154" t="str">
            <v>North Korea - modelled</v>
          </cell>
          <cell r="Q154">
            <v>6.4000000000000003E-3</v>
          </cell>
          <cell r="S154">
            <v>0</v>
          </cell>
          <cell r="T154">
            <v>0</v>
          </cell>
          <cell r="U154">
            <v>0</v>
          </cell>
        </row>
        <row r="155">
          <cell r="C155" t="str">
            <v>Cambodia - modelled</v>
          </cell>
          <cell r="D155">
            <v>4.5999999999999999E-3</v>
          </cell>
          <cell r="E155">
            <v>5.0000000000000001E-3</v>
          </cell>
          <cell r="F155">
            <v>5.1999999999999998E-3</v>
          </cell>
          <cell r="G155">
            <v>5.4999999999999997E-3</v>
          </cell>
          <cell r="H155">
            <v>5.7999999999999996E-3</v>
          </cell>
          <cell r="I155">
            <v>6.1999999999999998E-3</v>
          </cell>
          <cell r="O155">
            <v>0</v>
          </cell>
          <cell r="P155" t="str">
            <v>Cambodia - modelled</v>
          </cell>
          <cell r="Q155">
            <v>6.1999999999999998E-3</v>
          </cell>
          <cell r="S155">
            <v>0</v>
          </cell>
          <cell r="T155">
            <v>0</v>
          </cell>
          <cell r="U155">
            <v>0</v>
          </cell>
        </row>
        <row r="156">
          <cell r="C156" t="str">
            <v>Liberia - modelled</v>
          </cell>
          <cell r="D156">
            <v>5.1999999999999998E-3</v>
          </cell>
          <cell r="E156">
            <v>5.0000000000000001E-3</v>
          </cell>
          <cell r="F156">
            <v>5.1999999999999998E-3</v>
          </cell>
          <cell r="G156">
            <v>5.4000000000000003E-3</v>
          </cell>
          <cell r="H156">
            <v>5.4999999999999997E-3</v>
          </cell>
          <cell r="I156">
            <v>5.7000000000000002E-3</v>
          </cell>
          <cell r="O156">
            <v>0</v>
          </cell>
          <cell r="P156" t="str">
            <v>Liberia - modelled</v>
          </cell>
          <cell r="Q156">
            <v>5.7000000000000002E-3</v>
          </cell>
          <cell r="S156">
            <v>0</v>
          </cell>
          <cell r="T156">
            <v>0</v>
          </cell>
          <cell r="U156">
            <v>0</v>
          </cell>
        </row>
        <row r="157">
          <cell r="C157" t="str">
            <v>Tajikistan - modelled</v>
          </cell>
          <cell r="D157">
            <v>5.4000000000000003E-3</v>
          </cell>
          <cell r="E157">
            <v>5.0000000000000001E-3</v>
          </cell>
          <cell r="F157">
            <v>4.7999999999999996E-3</v>
          </cell>
          <cell r="G157">
            <v>5.0000000000000001E-3</v>
          </cell>
          <cell r="H157">
            <v>5.1999999999999998E-3</v>
          </cell>
          <cell r="I157">
            <v>5.4999999999999997E-3</v>
          </cell>
          <cell r="O157">
            <v>0</v>
          </cell>
          <cell r="P157" t="str">
            <v>Tajikistan - modelled</v>
          </cell>
          <cell r="Q157">
            <v>5.4999999999999997E-3</v>
          </cell>
          <cell r="S157">
            <v>0</v>
          </cell>
          <cell r="T157">
            <v>0</v>
          </cell>
          <cell r="U157">
            <v>0</v>
          </cell>
        </row>
        <row r="158">
          <cell r="C158" t="str">
            <v>Kyrgyzstan - modelled</v>
          </cell>
          <cell r="D158">
            <v>4.7999999999999996E-3</v>
          </cell>
          <cell r="E158">
            <v>4.4000000000000003E-3</v>
          </cell>
          <cell r="F158">
            <v>4.2000000000000006E-3</v>
          </cell>
          <cell r="G158">
            <v>4.4000000000000003E-3</v>
          </cell>
          <cell r="H158">
            <v>4.5999999999999999E-3</v>
          </cell>
          <cell r="I158">
            <v>4.9000000000000007E-3</v>
          </cell>
          <cell r="O158">
            <v>0</v>
          </cell>
          <cell r="P158" t="str">
            <v>Kyrgyzstan - modelled</v>
          </cell>
          <cell r="Q158">
            <v>4.9000000000000007E-3</v>
          </cell>
          <cell r="S158">
            <v>0</v>
          </cell>
          <cell r="T158">
            <v>0</v>
          </cell>
          <cell r="U158">
            <v>0</v>
          </cell>
        </row>
        <row r="159">
          <cell r="C159" t="str">
            <v>Malta - modelled</v>
          </cell>
          <cell r="D159">
            <v>5.1999999999999998E-3</v>
          </cell>
          <cell r="E159">
            <v>4.9000000000000007E-3</v>
          </cell>
          <cell r="F159">
            <v>5.0000000000000001E-3</v>
          </cell>
          <cell r="G159">
            <v>4.9000000000000007E-3</v>
          </cell>
          <cell r="H159">
            <v>4.4999999999999997E-3</v>
          </cell>
          <cell r="I159">
            <v>4.9000000000000007E-3</v>
          </cell>
          <cell r="O159">
            <v>0</v>
          </cell>
          <cell r="P159" t="str">
            <v>Malta - modelled</v>
          </cell>
          <cell r="Q159">
            <v>4.9000000000000007E-3</v>
          </cell>
          <cell r="S159">
            <v>0</v>
          </cell>
          <cell r="T159">
            <v>0</v>
          </cell>
          <cell r="U159">
            <v>0</v>
          </cell>
        </row>
        <row r="160">
          <cell r="C160" t="str">
            <v>Martinique - modelled</v>
          </cell>
          <cell r="D160">
            <v>6.4999999999999997E-3</v>
          </cell>
          <cell r="E160">
            <v>6.0999999999999995E-3</v>
          </cell>
          <cell r="F160">
            <v>6.0000000000000001E-3</v>
          </cell>
          <cell r="G160">
            <v>5.7000000000000002E-3</v>
          </cell>
          <cell r="H160">
            <v>5.1999999999999998E-3</v>
          </cell>
          <cell r="I160">
            <v>4.7999999999999996E-3</v>
          </cell>
          <cell r="O160">
            <v>0</v>
          </cell>
          <cell r="P160" t="str">
            <v>Martinique - modelled</v>
          </cell>
          <cell r="Q160">
            <v>4.7999999999999996E-3</v>
          </cell>
          <cell r="S160">
            <v>0</v>
          </cell>
          <cell r="T160">
            <v>0</v>
          </cell>
          <cell r="U160">
            <v>0</v>
          </cell>
        </row>
        <row r="161">
          <cell r="C161" t="str">
            <v>Rwanda - modelled</v>
          </cell>
          <cell r="D161">
            <v>6.1999999999999998E-3</v>
          </cell>
          <cell r="E161">
            <v>5.7999999999999996E-3</v>
          </cell>
          <cell r="F161">
            <v>5.7000000000000002E-3</v>
          </cell>
          <cell r="G161">
            <v>5.4000000000000003E-3</v>
          </cell>
          <cell r="H161">
            <v>4.9000000000000007E-3</v>
          </cell>
          <cell r="I161">
            <v>4.7000000000000002E-3</v>
          </cell>
          <cell r="O161">
            <v>0</v>
          </cell>
          <cell r="P161" t="str">
            <v>Rwanda - modelled</v>
          </cell>
          <cell r="Q161">
            <v>4.7000000000000002E-3</v>
          </cell>
          <cell r="S161">
            <v>0</v>
          </cell>
          <cell r="T161">
            <v>0</v>
          </cell>
          <cell r="U161">
            <v>0</v>
          </cell>
        </row>
        <row r="162">
          <cell r="C162" t="str">
            <v>Bahamas - modelled</v>
          </cell>
          <cell r="D162">
            <v>4.3E-3</v>
          </cell>
          <cell r="E162">
            <v>4.3E-3</v>
          </cell>
          <cell r="F162">
            <v>4.3E-3</v>
          </cell>
          <cell r="G162">
            <v>4.4000000000000003E-3</v>
          </cell>
          <cell r="H162">
            <v>4.4999999999999997E-3</v>
          </cell>
          <cell r="I162">
            <v>4.4000000000000003E-3</v>
          </cell>
          <cell r="O162">
            <v>0</v>
          </cell>
          <cell r="P162" t="str">
            <v>Bahamas - modelled</v>
          </cell>
          <cell r="Q162">
            <v>4.4000000000000003E-3</v>
          </cell>
          <cell r="S162">
            <v>0</v>
          </cell>
          <cell r="T162">
            <v>0</v>
          </cell>
          <cell r="U162">
            <v>0</v>
          </cell>
        </row>
        <row r="163">
          <cell r="C163" t="str">
            <v>Benin - modelled</v>
          </cell>
          <cell r="D163">
            <v>3.8999999999999998E-3</v>
          </cell>
          <cell r="E163">
            <v>3.7000000000000002E-3</v>
          </cell>
          <cell r="F163">
            <v>3.8999999999999998E-3</v>
          </cell>
          <cell r="G163">
            <v>4.0000000000000001E-3</v>
          </cell>
          <cell r="H163">
            <v>4.0000000000000001E-3</v>
          </cell>
          <cell r="I163">
            <v>4.0999999999999995E-3</v>
          </cell>
          <cell r="O163">
            <v>0</v>
          </cell>
          <cell r="P163" t="str">
            <v>Benin - modelled</v>
          </cell>
          <cell r="Q163">
            <v>4.0999999999999995E-3</v>
          </cell>
          <cell r="S163">
            <v>0</v>
          </cell>
          <cell r="T163">
            <v>0</v>
          </cell>
          <cell r="U163">
            <v>0</v>
          </cell>
        </row>
        <row r="164">
          <cell r="C164" t="str">
            <v>Burkina Faso - modelled</v>
          </cell>
          <cell r="D164">
            <v>3.8999999999999998E-3</v>
          </cell>
          <cell r="E164">
            <v>3.7000000000000002E-3</v>
          </cell>
          <cell r="F164">
            <v>3.8999999999999998E-3</v>
          </cell>
          <cell r="G164">
            <v>4.0000000000000001E-3</v>
          </cell>
          <cell r="H164">
            <v>4.0000000000000001E-3</v>
          </cell>
          <cell r="I164">
            <v>4.0999999999999995E-3</v>
          </cell>
          <cell r="O164">
            <v>0</v>
          </cell>
          <cell r="P164" t="str">
            <v>Burkina Faso - modelled</v>
          </cell>
          <cell r="Q164">
            <v>4.0999999999999995E-3</v>
          </cell>
          <cell r="S164">
            <v>0</v>
          </cell>
          <cell r="T164">
            <v>0</v>
          </cell>
          <cell r="U164">
            <v>0</v>
          </cell>
        </row>
        <row r="165">
          <cell r="C165" t="str">
            <v>Swaziland - modelled</v>
          </cell>
          <cell r="D165">
            <v>2.2000000000000001E-3</v>
          </cell>
          <cell r="E165">
            <v>2.1000000000000003E-3</v>
          </cell>
          <cell r="F165">
            <v>2.5999999999999999E-3</v>
          </cell>
          <cell r="G165">
            <v>3.0000000000000001E-3</v>
          </cell>
          <cell r="H165">
            <v>3.3E-3</v>
          </cell>
          <cell r="I165">
            <v>4.0999999999999995E-3</v>
          </cell>
          <cell r="O165">
            <v>0</v>
          </cell>
          <cell r="P165" t="str">
            <v>Swaziland - modelled</v>
          </cell>
          <cell r="Q165">
            <v>4.0999999999999995E-3</v>
          </cell>
          <cell r="S165">
            <v>0</v>
          </cell>
          <cell r="T165">
            <v>0</v>
          </cell>
          <cell r="U165">
            <v>0</v>
          </cell>
        </row>
        <row r="166">
          <cell r="C166" t="str">
            <v>Mauritius - modelled</v>
          </cell>
          <cell r="D166">
            <v>5.3E-3</v>
          </cell>
          <cell r="E166">
            <v>4.9000000000000007E-3</v>
          </cell>
          <cell r="F166">
            <v>4.7999999999999996E-3</v>
          </cell>
          <cell r="G166">
            <v>4.5999999999999999E-3</v>
          </cell>
          <cell r="H166">
            <v>4.2000000000000006E-3</v>
          </cell>
          <cell r="I166">
            <v>3.8999999999999998E-3</v>
          </cell>
          <cell r="O166">
            <v>0</v>
          </cell>
          <cell r="P166" t="str">
            <v>Mauritius - modelled</v>
          </cell>
          <cell r="Q166">
            <v>3.8999999999999998E-3</v>
          </cell>
          <cell r="S166">
            <v>0</v>
          </cell>
          <cell r="T166">
            <v>0</v>
          </cell>
          <cell r="U166">
            <v>0</v>
          </cell>
        </row>
        <row r="167">
          <cell r="C167" t="str">
            <v>Burundi - modelled</v>
          </cell>
          <cell r="D167">
            <v>1.9E-3</v>
          </cell>
          <cell r="E167">
            <v>1.8E-3</v>
          </cell>
          <cell r="F167">
            <v>2.2000000000000001E-3</v>
          </cell>
          <cell r="G167">
            <v>2.5999999999999999E-3</v>
          </cell>
          <cell r="H167">
            <v>3.0000000000000001E-3</v>
          </cell>
          <cell r="I167">
            <v>3.8E-3</v>
          </cell>
          <cell r="O167">
            <v>0</v>
          </cell>
          <cell r="P167" t="str">
            <v>Burundi - modelled</v>
          </cell>
          <cell r="Q167">
            <v>3.8E-3</v>
          </cell>
          <cell r="S167">
            <v>0</v>
          </cell>
          <cell r="T167">
            <v>0</v>
          </cell>
          <cell r="U167">
            <v>0</v>
          </cell>
        </row>
        <row r="168">
          <cell r="C168" t="str">
            <v>Mali - modelled</v>
          </cell>
          <cell r="D168">
            <v>3.3999999999999998E-3</v>
          </cell>
          <cell r="E168">
            <v>3.2000000000000002E-3</v>
          </cell>
          <cell r="F168">
            <v>3.3999999999999998E-3</v>
          </cell>
          <cell r="G168">
            <v>3.5000000000000001E-3</v>
          </cell>
          <cell r="H168">
            <v>3.5000000000000001E-3</v>
          </cell>
          <cell r="I168">
            <v>3.5999999999999999E-3</v>
          </cell>
          <cell r="O168">
            <v>0</v>
          </cell>
          <cell r="P168" t="str">
            <v>Mali - modelled</v>
          </cell>
          <cell r="Q168">
            <v>3.5999999999999999E-3</v>
          </cell>
          <cell r="S168">
            <v>0</v>
          </cell>
          <cell r="T168">
            <v>0</v>
          </cell>
          <cell r="U168">
            <v>0</v>
          </cell>
        </row>
        <row r="169">
          <cell r="C169" t="str">
            <v>Laos - modelled</v>
          </cell>
          <cell r="D169">
            <v>2.5000000000000001E-3</v>
          </cell>
          <cell r="E169">
            <v>2.7000000000000001E-3</v>
          </cell>
          <cell r="F169">
            <v>2.8E-3</v>
          </cell>
          <cell r="G169">
            <v>3.0000000000000001E-3</v>
          </cell>
          <cell r="H169">
            <v>3.0999999999999999E-3</v>
          </cell>
          <cell r="I169">
            <v>3.3999999999999998E-3</v>
          </cell>
          <cell r="O169">
            <v>0</v>
          </cell>
          <cell r="P169" t="str">
            <v>Laos - modelled</v>
          </cell>
          <cell r="Q169">
            <v>3.3999999999999998E-3</v>
          </cell>
          <cell r="S169">
            <v>0</v>
          </cell>
          <cell r="T169">
            <v>0</v>
          </cell>
          <cell r="U169">
            <v>0</v>
          </cell>
        </row>
        <row r="170">
          <cell r="C170" t="str">
            <v>Lesotho - modelled</v>
          </cell>
          <cell r="D170">
            <v>1.8E-3</v>
          </cell>
          <cell r="E170">
            <v>1.6999999999999999E-3</v>
          </cell>
          <cell r="F170">
            <v>2.1000000000000003E-3</v>
          </cell>
          <cell r="G170">
            <v>2.3999999999999998E-3</v>
          </cell>
          <cell r="H170">
            <v>2.7000000000000001E-3</v>
          </cell>
          <cell r="I170">
            <v>3.3E-3</v>
          </cell>
          <cell r="O170">
            <v>0</v>
          </cell>
          <cell r="P170" t="str">
            <v>Lesotho - modelled</v>
          </cell>
          <cell r="Q170">
            <v>3.3E-3</v>
          </cell>
          <cell r="S170">
            <v>0</v>
          </cell>
          <cell r="T170">
            <v>0</v>
          </cell>
          <cell r="U170">
            <v>0</v>
          </cell>
        </row>
        <row r="171">
          <cell r="C171" t="str">
            <v>New Caledonia - modelled</v>
          </cell>
          <cell r="D171">
            <v>4.0000000000000001E-3</v>
          </cell>
          <cell r="E171">
            <v>3.8E-3</v>
          </cell>
          <cell r="F171">
            <v>3.7000000000000002E-3</v>
          </cell>
          <cell r="G171">
            <v>3.5000000000000001E-3</v>
          </cell>
          <cell r="H171">
            <v>3.2000000000000002E-3</v>
          </cell>
          <cell r="I171">
            <v>3.0000000000000001E-3</v>
          </cell>
          <cell r="O171">
            <v>0</v>
          </cell>
          <cell r="P171" t="str">
            <v>New Caledonia - modelled</v>
          </cell>
          <cell r="Q171">
            <v>3.0000000000000001E-3</v>
          </cell>
          <cell r="S171">
            <v>0</v>
          </cell>
          <cell r="T171">
            <v>0</v>
          </cell>
          <cell r="U171">
            <v>0</v>
          </cell>
        </row>
        <row r="172">
          <cell r="C172" t="str">
            <v>Fiji - modelled</v>
          </cell>
          <cell r="D172">
            <v>3.0999999999999999E-3</v>
          </cell>
          <cell r="E172">
            <v>2.8E-3</v>
          </cell>
          <cell r="F172">
            <v>2.7000000000000001E-3</v>
          </cell>
          <cell r="G172">
            <v>3.0000000000000001E-3</v>
          </cell>
          <cell r="H172">
            <v>2.7000000000000001E-3</v>
          </cell>
          <cell r="I172">
            <v>2.8999999999999998E-3</v>
          </cell>
          <cell r="O172">
            <v>0</v>
          </cell>
          <cell r="P172" t="str">
            <v>Fiji - modelled</v>
          </cell>
          <cell r="Q172">
            <v>2.8999999999999998E-3</v>
          </cell>
          <cell r="S172">
            <v>0</v>
          </cell>
          <cell r="T172">
            <v>0</v>
          </cell>
          <cell r="U172">
            <v>0</v>
          </cell>
        </row>
        <row r="173">
          <cell r="C173" t="str">
            <v>Macau - modelled</v>
          </cell>
          <cell r="D173">
            <v>2.3999999999999998E-3</v>
          </cell>
          <cell r="E173">
            <v>2.3999999999999998E-3</v>
          </cell>
          <cell r="F173">
            <v>2.5000000000000001E-3</v>
          </cell>
          <cell r="G173">
            <v>2.5999999999999999E-3</v>
          </cell>
          <cell r="H173">
            <v>2.7000000000000001E-3</v>
          </cell>
          <cell r="I173">
            <v>2.8999999999999998E-3</v>
          </cell>
          <cell r="O173">
            <v>0</v>
          </cell>
          <cell r="P173" t="str">
            <v>Macau - modelled</v>
          </cell>
          <cell r="Q173">
            <v>2.8999999999999998E-3</v>
          </cell>
          <cell r="S173">
            <v>0</v>
          </cell>
          <cell r="T173">
            <v>0</v>
          </cell>
          <cell r="U173">
            <v>0</v>
          </cell>
        </row>
        <row r="174">
          <cell r="C174" t="str">
            <v>Niger - modelled</v>
          </cell>
          <cell r="D174">
            <v>2.7000000000000001E-3</v>
          </cell>
          <cell r="E174">
            <v>2.5999999999999999E-3</v>
          </cell>
          <cell r="F174">
            <v>2.7000000000000001E-3</v>
          </cell>
          <cell r="G174">
            <v>2.8E-3</v>
          </cell>
          <cell r="H174">
            <v>2.8E-3</v>
          </cell>
          <cell r="I174">
            <v>2.8999999999999998E-3</v>
          </cell>
          <cell r="O174">
            <v>0</v>
          </cell>
          <cell r="P174" t="str">
            <v>Niger - modelled</v>
          </cell>
          <cell r="Q174">
            <v>2.8999999999999998E-3</v>
          </cell>
          <cell r="S174">
            <v>0</v>
          </cell>
          <cell r="T174">
            <v>0</v>
          </cell>
          <cell r="U174">
            <v>0</v>
          </cell>
        </row>
        <row r="175">
          <cell r="C175" t="str">
            <v>Barbados - modelled</v>
          </cell>
          <cell r="D175">
            <v>2.3999999999999998E-3</v>
          </cell>
          <cell r="E175">
            <v>2.3999999999999998E-3</v>
          </cell>
          <cell r="F175">
            <v>2.3999999999999998E-3</v>
          </cell>
          <cell r="G175">
            <v>2.5000000000000001E-3</v>
          </cell>
          <cell r="H175">
            <v>2.5000000000000001E-3</v>
          </cell>
          <cell r="I175">
            <v>2.5000000000000001E-3</v>
          </cell>
          <cell r="O175">
            <v>0</v>
          </cell>
          <cell r="P175" t="str">
            <v>Barbados - modelled</v>
          </cell>
          <cell r="Q175">
            <v>2.5000000000000001E-3</v>
          </cell>
          <cell r="S175">
            <v>0</v>
          </cell>
          <cell r="T175">
            <v>0</v>
          </cell>
          <cell r="U175">
            <v>0</v>
          </cell>
        </row>
        <row r="176">
          <cell r="C176" t="str">
            <v>Comoros - modelled</v>
          </cell>
          <cell r="D176">
            <v>2E-3</v>
          </cell>
          <cell r="E176">
            <v>2E-3</v>
          </cell>
          <cell r="F176">
            <v>2E-3</v>
          </cell>
          <cell r="G176">
            <v>2.1000000000000003E-3</v>
          </cell>
          <cell r="H176">
            <v>2.2000000000000001E-3</v>
          </cell>
          <cell r="I176">
            <v>2.5000000000000001E-3</v>
          </cell>
          <cell r="O176">
            <v>0</v>
          </cell>
          <cell r="P176" t="str">
            <v>Comoros - modelled</v>
          </cell>
          <cell r="Q176">
            <v>2.5000000000000001E-3</v>
          </cell>
          <cell r="S176">
            <v>0</v>
          </cell>
          <cell r="T176">
            <v>0</v>
          </cell>
          <cell r="U176">
            <v>0</v>
          </cell>
        </row>
        <row r="177">
          <cell r="C177" t="str">
            <v>Guinea - modelled</v>
          </cell>
          <cell r="D177">
            <v>2.3999999999999998E-3</v>
          </cell>
          <cell r="E177">
            <v>2.3E-3</v>
          </cell>
          <cell r="F177">
            <v>2.3999999999999998E-3</v>
          </cell>
          <cell r="G177">
            <v>2.3999999999999998E-3</v>
          </cell>
          <cell r="H177">
            <v>2.3999999999999998E-3</v>
          </cell>
          <cell r="I177">
            <v>2.5000000000000001E-3</v>
          </cell>
          <cell r="O177">
            <v>0</v>
          </cell>
          <cell r="P177" t="str">
            <v>Guinea - modelled</v>
          </cell>
          <cell r="Q177">
            <v>2.5000000000000001E-3</v>
          </cell>
          <cell r="S177">
            <v>0</v>
          </cell>
          <cell r="T177">
            <v>0</v>
          </cell>
          <cell r="U177">
            <v>0</v>
          </cell>
        </row>
        <row r="178">
          <cell r="C178" t="str">
            <v>Andorra - modelled</v>
          </cell>
          <cell r="D178">
            <v>2.3E-3</v>
          </cell>
          <cell r="E178">
            <v>2.2000000000000001E-3</v>
          </cell>
          <cell r="F178">
            <v>2.5000000000000001E-3</v>
          </cell>
          <cell r="G178">
            <v>2.5999999999999999E-3</v>
          </cell>
          <cell r="H178">
            <v>2.5000000000000001E-3</v>
          </cell>
          <cell r="I178">
            <v>2.3999999999999998E-3</v>
          </cell>
          <cell r="O178">
            <v>0</v>
          </cell>
          <cell r="P178" t="str">
            <v>Andorra - modelled</v>
          </cell>
          <cell r="Q178">
            <v>2.3999999999999998E-3</v>
          </cell>
          <cell r="S178">
            <v>0</v>
          </cell>
          <cell r="T178">
            <v>0</v>
          </cell>
          <cell r="U178">
            <v>0</v>
          </cell>
        </row>
        <row r="179">
          <cell r="C179" t="str">
            <v>Belize - modelled</v>
          </cell>
          <cell r="D179">
            <v>1.8E-3</v>
          </cell>
          <cell r="E179">
            <v>1.9E-3</v>
          </cell>
          <cell r="F179">
            <v>1.8E-3</v>
          </cell>
          <cell r="G179">
            <v>1.9E-3</v>
          </cell>
          <cell r="H179">
            <v>2E-3</v>
          </cell>
          <cell r="I179">
            <v>2.3E-3</v>
          </cell>
          <cell r="O179">
            <v>0</v>
          </cell>
          <cell r="P179" t="str">
            <v>Belize - modelled</v>
          </cell>
          <cell r="Q179">
            <v>2.3E-3</v>
          </cell>
          <cell r="S179">
            <v>0</v>
          </cell>
          <cell r="T179">
            <v>0</v>
          </cell>
          <cell r="U179">
            <v>0</v>
          </cell>
        </row>
        <row r="180">
          <cell r="C180" t="str">
            <v>Togo - modelled</v>
          </cell>
          <cell r="D180">
            <v>2.2000000000000001E-3</v>
          </cell>
          <cell r="E180">
            <v>2.1000000000000003E-3</v>
          </cell>
          <cell r="F180">
            <v>2.2000000000000001E-3</v>
          </cell>
          <cell r="G180">
            <v>2.2000000000000001E-3</v>
          </cell>
          <cell r="H180">
            <v>2.2000000000000001E-3</v>
          </cell>
          <cell r="I180">
            <v>2.3E-3</v>
          </cell>
          <cell r="O180">
            <v>0</v>
          </cell>
          <cell r="P180" t="str">
            <v>Togo - modelled</v>
          </cell>
          <cell r="Q180">
            <v>2.3E-3</v>
          </cell>
          <cell r="S180">
            <v>0</v>
          </cell>
          <cell r="T180">
            <v>0</v>
          </cell>
          <cell r="U180">
            <v>0</v>
          </cell>
        </row>
        <row r="181">
          <cell r="C181" t="str">
            <v>Netherlands Antilles - modelled</v>
          </cell>
          <cell r="D181">
            <v>2.2000000000000001E-3</v>
          </cell>
          <cell r="E181">
            <v>2.1000000000000003E-3</v>
          </cell>
          <cell r="F181">
            <v>2.2000000000000001E-3</v>
          </cell>
          <cell r="G181">
            <v>2.2000000000000001E-3</v>
          </cell>
          <cell r="H181">
            <v>2.3E-3</v>
          </cell>
          <cell r="I181">
            <v>2.2000000000000001E-3</v>
          </cell>
          <cell r="O181">
            <v>0</v>
          </cell>
          <cell r="P181" t="str">
            <v>Netherlands Antilles - modelled</v>
          </cell>
          <cell r="Q181">
            <v>2.2000000000000001E-3</v>
          </cell>
          <cell r="S181">
            <v>0</v>
          </cell>
          <cell r="T181">
            <v>0</v>
          </cell>
          <cell r="U181">
            <v>0</v>
          </cell>
        </row>
        <row r="182">
          <cell r="C182" t="str">
            <v>Malawi - modelled</v>
          </cell>
          <cell r="D182">
            <v>1.1000000000000001E-3</v>
          </cell>
          <cell r="E182">
            <v>1.1000000000000001E-3</v>
          </cell>
          <cell r="F182">
            <v>1.2999999999999999E-3</v>
          </cell>
          <cell r="G182">
            <v>1.5E-3</v>
          </cell>
          <cell r="H182">
            <v>1.6999999999999999E-3</v>
          </cell>
          <cell r="I182">
            <v>2.1000000000000003E-3</v>
          </cell>
          <cell r="O182">
            <v>0</v>
          </cell>
          <cell r="P182" t="str">
            <v>Malawi - modelled</v>
          </cell>
          <cell r="Q182">
            <v>2.1000000000000003E-3</v>
          </cell>
          <cell r="S182">
            <v>0</v>
          </cell>
          <cell r="T182">
            <v>0</v>
          </cell>
          <cell r="U182">
            <v>0</v>
          </cell>
        </row>
        <row r="183">
          <cell r="C183" t="str">
            <v>Bermuda - modelled</v>
          </cell>
          <cell r="D183">
            <v>2E-3</v>
          </cell>
          <cell r="E183">
            <v>2E-3</v>
          </cell>
          <cell r="F183">
            <v>2E-3</v>
          </cell>
          <cell r="G183">
            <v>2.1000000000000003E-3</v>
          </cell>
          <cell r="H183">
            <v>2.1000000000000003E-3</v>
          </cell>
          <cell r="I183">
            <v>2E-3</v>
          </cell>
          <cell r="O183">
            <v>0</v>
          </cell>
          <cell r="P183" t="str">
            <v>Bermuda - modelled</v>
          </cell>
          <cell r="Q183">
            <v>2E-3</v>
          </cell>
          <cell r="S183">
            <v>0</v>
          </cell>
          <cell r="T183">
            <v>0</v>
          </cell>
          <cell r="U183">
            <v>0</v>
          </cell>
        </row>
        <row r="184">
          <cell r="C184" t="str">
            <v>Aruba - modelled</v>
          </cell>
          <cell r="D184">
            <v>1.4E-3</v>
          </cell>
          <cell r="E184">
            <v>1.6000000000000001E-3</v>
          </cell>
          <cell r="F184">
            <v>1.4E-3</v>
          </cell>
          <cell r="G184">
            <v>1.6000000000000001E-3</v>
          </cell>
          <cell r="H184">
            <v>1.6999999999999999E-3</v>
          </cell>
          <cell r="I184">
            <v>1.9E-3</v>
          </cell>
          <cell r="O184">
            <v>0</v>
          </cell>
          <cell r="P184" t="str">
            <v>Aruba - modelled</v>
          </cell>
          <cell r="Q184">
            <v>1.9E-3</v>
          </cell>
          <cell r="S184">
            <v>0</v>
          </cell>
          <cell r="T184">
            <v>0</v>
          </cell>
          <cell r="U184">
            <v>0</v>
          </cell>
        </row>
        <row r="185">
          <cell r="C185" t="str">
            <v>French Guiana - modelled</v>
          </cell>
          <cell r="D185">
            <v>2.1000000000000003E-3</v>
          </cell>
          <cell r="E185">
            <v>1.9E-3</v>
          </cell>
          <cell r="F185">
            <v>1.9E-3</v>
          </cell>
          <cell r="G185">
            <v>1.8E-3</v>
          </cell>
          <cell r="H185">
            <v>1.6999999999999999E-3</v>
          </cell>
          <cell r="I185">
            <v>1.6000000000000001E-3</v>
          </cell>
          <cell r="O185">
            <v>0</v>
          </cell>
          <cell r="P185" t="str">
            <v>French Guiana - modelled</v>
          </cell>
          <cell r="Q185">
            <v>1.6000000000000001E-3</v>
          </cell>
          <cell r="S185">
            <v>0</v>
          </cell>
          <cell r="T185">
            <v>0</v>
          </cell>
          <cell r="U185">
            <v>0</v>
          </cell>
        </row>
        <row r="186">
          <cell r="C186" t="str">
            <v>Afghanistan - modelled</v>
          </cell>
          <cell r="D186">
            <v>1.4E-3</v>
          </cell>
          <cell r="E186">
            <v>1.2999999999999999E-3</v>
          </cell>
          <cell r="F186">
            <v>1.1999999999999999E-3</v>
          </cell>
          <cell r="G186">
            <v>1.1999999999999999E-3</v>
          </cell>
          <cell r="H186">
            <v>1.2999999999999999E-3</v>
          </cell>
          <cell r="I186">
            <v>1.4E-3</v>
          </cell>
          <cell r="O186">
            <v>0</v>
          </cell>
          <cell r="P186" t="str">
            <v>Afghanistan - modelled</v>
          </cell>
          <cell r="Q186">
            <v>1.4E-3</v>
          </cell>
          <cell r="S186">
            <v>0</v>
          </cell>
          <cell r="T186">
            <v>0</v>
          </cell>
          <cell r="U186">
            <v>0</v>
          </cell>
        </row>
        <row r="187">
          <cell r="C187" t="str">
            <v>Guam - modelled</v>
          </cell>
          <cell r="D187">
            <v>1.2999999999999999E-3</v>
          </cell>
          <cell r="E187">
            <v>1.2999999999999999E-3</v>
          </cell>
          <cell r="F187">
            <v>1.2999999999999999E-3</v>
          </cell>
          <cell r="G187">
            <v>1.4E-3</v>
          </cell>
          <cell r="H187">
            <v>1.4E-3</v>
          </cell>
          <cell r="I187">
            <v>1.4E-3</v>
          </cell>
          <cell r="O187">
            <v>0</v>
          </cell>
          <cell r="P187" t="str">
            <v>Guam - modelled</v>
          </cell>
          <cell r="Q187">
            <v>1.4E-3</v>
          </cell>
          <cell r="S187">
            <v>0</v>
          </cell>
          <cell r="T187">
            <v>0</v>
          </cell>
          <cell r="U187">
            <v>0</v>
          </cell>
        </row>
        <row r="188">
          <cell r="C188" t="str">
            <v>Central African Republic - modelled</v>
          </cell>
          <cell r="D188">
            <v>1.2999999999999999E-3</v>
          </cell>
          <cell r="E188">
            <v>1.2999999999999999E-3</v>
          </cell>
          <cell r="F188">
            <v>1.4E-3</v>
          </cell>
          <cell r="G188">
            <v>1.4E-3</v>
          </cell>
          <cell r="H188">
            <v>1.4E-3</v>
          </cell>
          <cell r="I188">
            <v>1.4E-3</v>
          </cell>
          <cell r="O188">
            <v>0</v>
          </cell>
          <cell r="P188" t="str">
            <v>Central African Republic - modelled</v>
          </cell>
          <cell r="Q188">
            <v>1.4E-3</v>
          </cell>
          <cell r="S188">
            <v>0</v>
          </cell>
          <cell r="T188">
            <v>0</v>
          </cell>
          <cell r="U188">
            <v>0</v>
          </cell>
        </row>
        <row r="189">
          <cell r="C189" t="str">
            <v>Chad - modelled</v>
          </cell>
          <cell r="D189">
            <v>1E-3</v>
          </cell>
          <cell r="E189">
            <v>1.1000000000000001E-3</v>
          </cell>
          <cell r="F189">
            <v>1.1000000000000001E-3</v>
          </cell>
          <cell r="G189">
            <v>1.1999999999999999E-3</v>
          </cell>
          <cell r="H189">
            <v>1.2999999999999999E-3</v>
          </cell>
          <cell r="I189">
            <v>1.4E-3</v>
          </cell>
          <cell r="O189">
            <v>0</v>
          </cell>
          <cell r="P189" t="str">
            <v>Chad - modelled</v>
          </cell>
          <cell r="Q189">
            <v>1.4E-3</v>
          </cell>
          <cell r="S189">
            <v>0</v>
          </cell>
          <cell r="T189">
            <v>0</v>
          </cell>
          <cell r="U189">
            <v>0</v>
          </cell>
        </row>
        <row r="190">
          <cell r="C190" t="str">
            <v>French Polynesia - modelled</v>
          </cell>
          <cell r="D190">
            <v>1.5E-3</v>
          </cell>
          <cell r="E190">
            <v>1.4E-3</v>
          </cell>
          <cell r="F190">
            <v>1.4E-3</v>
          </cell>
          <cell r="G190">
            <v>1.4E-3</v>
          </cell>
          <cell r="H190">
            <v>1.2999999999999999E-3</v>
          </cell>
          <cell r="I190">
            <v>1.2999999999999999E-3</v>
          </cell>
          <cell r="O190">
            <v>0</v>
          </cell>
          <cell r="P190" t="str">
            <v>French Polynesia - modelled</v>
          </cell>
          <cell r="Q190">
            <v>1.2999999999999999E-3</v>
          </cell>
          <cell r="S190">
            <v>0</v>
          </cell>
          <cell r="T190">
            <v>0</v>
          </cell>
          <cell r="U190">
            <v>0</v>
          </cell>
        </row>
        <row r="191">
          <cell r="C191" t="str">
            <v>Antigua - modelled</v>
          </cell>
          <cell r="D191">
            <v>1E-3</v>
          </cell>
          <cell r="E191">
            <v>1.1000000000000001E-3</v>
          </cell>
          <cell r="F191">
            <v>1E-3</v>
          </cell>
          <cell r="G191">
            <v>1.1000000000000001E-3</v>
          </cell>
          <cell r="H191">
            <v>1.1000000000000001E-3</v>
          </cell>
          <cell r="I191">
            <v>1.2999999999999999E-3</v>
          </cell>
          <cell r="O191">
            <v>0</v>
          </cell>
          <cell r="P191" t="str">
            <v>Antigua - modelled</v>
          </cell>
          <cell r="Q191">
            <v>1.2999999999999999E-3</v>
          </cell>
          <cell r="S191">
            <v>0</v>
          </cell>
          <cell r="T191">
            <v>0</v>
          </cell>
          <cell r="U191">
            <v>0</v>
          </cell>
        </row>
        <row r="192">
          <cell r="C192" t="str">
            <v>Cayman Islands - modelled</v>
          </cell>
          <cell r="D192">
            <v>1.1999999999999999E-3</v>
          </cell>
          <cell r="E192">
            <v>1.1999999999999999E-3</v>
          </cell>
          <cell r="F192">
            <v>1.1999999999999999E-3</v>
          </cell>
          <cell r="G192">
            <v>1.2999999999999999E-3</v>
          </cell>
          <cell r="H192">
            <v>1.2999999999999999E-3</v>
          </cell>
          <cell r="I192">
            <v>1.2999999999999999E-3</v>
          </cell>
          <cell r="O192">
            <v>0</v>
          </cell>
          <cell r="P192" t="str">
            <v>Cayman Islands - modelled</v>
          </cell>
          <cell r="Q192">
            <v>1.2999999999999999E-3</v>
          </cell>
          <cell r="S192">
            <v>0</v>
          </cell>
          <cell r="T192">
            <v>0</v>
          </cell>
          <cell r="U192">
            <v>0</v>
          </cell>
        </row>
        <row r="193">
          <cell r="C193" t="str">
            <v>St Lucia - modelled</v>
          </cell>
          <cell r="D193">
            <v>1E-3</v>
          </cell>
          <cell r="E193">
            <v>1.1000000000000001E-3</v>
          </cell>
          <cell r="F193">
            <v>1E-3</v>
          </cell>
          <cell r="G193">
            <v>1.1000000000000001E-3</v>
          </cell>
          <cell r="H193">
            <v>1.1000000000000001E-3</v>
          </cell>
          <cell r="I193">
            <v>1.2999999999999999E-3</v>
          </cell>
          <cell r="O193">
            <v>0</v>
          </cell>
          <cell r="P193" t="str">
            <v>St Lucia - modelled</v>
          </cell>
          <cell r="Q193">
            <v>1.2999999999999999E-3</v>
          </cell>
          <cell r="S193">
            <v>0</v>
          </cell>
          <cell r="T193">
            <v>0</v>
          </cell>
          <cell r="U193">
            <v>0</v>
          </cell>
        </row>
        <row r="194">
          <cell r="C194" t="str">
            <v>Monaco - modelled</v>
          </cell>
          <cell r="D194">
            <v>1.6999999999999999E-3</v>
          </cell>
          <cell r="E194">
            <v>1.6000000000000001E-3</v>
          </cell>
          <cell r="F194">
            <v>1.6000000000000001E-3</v>
          </cell>
          <cell r="G194">
            <v>1.5E-3</v>
          </cell>
          <cell r="H194">
            <v>1.4E-3</v>
          </cell>
          <cell r="I194">
            <v>1.2999999999999999E-3</v>
          </cell>
          <cell r="O194">
            <v>0</v>
          </cell>
          <cell r="P194" t="str">
            <v>Monaco - modelled</v>
          </cell>
          <cell r="Q194">
            <v>1.2999999999999999E-3</v>
          </cell>
          <cell r="S194">
            <v>0</v>
          </cell>
          <cell r="T194">
            <v>0</v>
          </cell>
          <cell r="U194">
            <v>0</v>
          </cell>
        </row>
        <row r="195">
          <cell r="C195" t="str">
            <v>Suriname - modelled</v>
          </cell>
          <cell r="D195">
            <v>5.0000000000000001E-4</v>
          </cell>
          <cell r="E195">
            <v>6.9999999999999999E-4</v>
          </cell>
          <cell r="F195">
            <v>5.9999999999999995E-4</v>
          </cell>
          <cell r="G195">
            <v>8.0000000000000004E-4</v>
          </cell>
          <cell r="H195">
            <v>1E-3</v>
          </cell>
          <cell r="I195">
            <v>1.1999999999999999E-3</v>
          </cell>
          <cell r="O195">
            <v>0</v>
          </cell>
          <cell r="P195" t="str">
            <v>Suriname - modelled</v>
          </cell>
          <cell r="Q195">
            <v>1.1999999999999999E-3</v>
          </cell>
          <cell r="S195">
            <v>0</v>
          </cell>
          <cell r="T195">
            <v>0</v>
          </cell>
          <cell r="U195">
            <v>0</v>
          </cell>
        </row>
        <row r="196">
          <cell r="C196" t="str">
            <v>Mauritania - modelled</v>
          </cell>
          <cell r="D196">
            <v>1.1999999999999999E-3</v>
          </cell>
          <cell r="E196">
            <v>1.1000000000000001E-3</v>
          </cell>
          <cell r="F196">
            <v>1.1999999999999999E-3</v>
          </cell>
          <cell r="G196">
            <v>1.1999999999999999E-3</v>
          </cell>
          <cell r="H196">
            <v>1.1999999999999999E-3</v>
          </cell>
          <cell r="I196">
            <v>1.1999999999999999E-3</v>
          </cell>
          <cell r="O196">
            <v>0</v>
          </cell>
          <cell r="P196" t="str">
            <v>Mauritania - modelled</v>
          </cell>
          <cell r="Q196">
            <v>1.1999999999999999E-3</v>
          </cell>
          <cell r="S196">
            <v>0</v>
          </cell>
          <cell r="T196">
            <v>0</v>
          </cell>
          <cell r="U196">
            <v>0</v>
          </cell>
        </row>
        <row r="197">
          <cell r="C197" t="str">
            <v>Somalia - modelled</v>
          </cell>
          <cell r="D197">
            <v>8.0000000000000004E-4</v>
          </cell>
          <cell r="E197">
            <v>8.9999999999999998E-4</v>
          </cell>
          <cell r="F197">
            <v>8.9999999999999998E-4</v>
          </cell>
          <cell r="G197">
            <v>1E-3</v>
          </cell>
          <cell r="H197">
            <v>1.1000000000000001E-3</v>
          </cell>
          <cell r="I197">
            <v>1.1999999999999999E-3</v>
          </cell>
          <cell r="O197">
            <v>0</v>
          </cell>
          <cell r="P197" t="str">
            <v>Somalia - modelled</v>
          </cell>
          <cell r="Q197">
            <v>1.1999999999999999E-3</v>
          </cell>
          <cell r="S197">
            <v>0</v>
          </cell>
          <cell r="T197">
            <v>0</v>
          </cell>
          <cell r="U197">
            <v>0</v>
          </cell>
        </row>
        <row r="198">
          <cell r="C198" t="str">
            <v>Sierra Leone - modelled</v>
          </cell>
          <cell r="D198">
            <v>1E-3</v>
          </cell>
          <cell r="E198">
            <v>1E-3</v>
          </cell>
          <cell r="F198">
            <v>1E-3</v>
          </cell>
          <cell r="G198">
            <v>1E-3</v>
          </cell>
          <cell r="H198">
            <v>1E-3</v>
          </cell>
          <cell r="I198">
            <v>1.1000000000000001E-3</v>
          </cell>
          <cell r="O198">
            <v>0</v>
          </cell>
          <cell r="P198" t="str">
            <v>Sierra Leone - modelled</v>
          </cell>
          <cell r="Q198">
            <v>1.1000000000000001E-3</v>
          </cell>
          <cell r="S198">
            <v>0</v>
          </cell>
          <cell r="T198">
            <v>0</v>
          </cell>
          <cell r="U198">
            <v>0</v>
          </cell>
        </row>
        <row r="199">
          <cell r="C199" t="str">
            <v>Mongolia - modelled</v>
          </cell>
          <cell r="D199">
            <v>1.2999999999999999E-3</v>
          </cell>
          <cell r="E199">
            <v>1.4E-3</v>
          </cell>
          <cell r="F199">
            <v>1.2999999999999999E-3</v>
          </cell>
          <cell r="G199">
            <v>1.1999999999999999E-3</v>
          </cell>
          <cell r="H199">
            <v>1.1999999999999999E-3</v>
          </cell>
          <cell r="I199">
            <v>1E-3</v>
          </cell>
          <cell r="O199">
            <v>0</v>
          </cell>
          <cell r="P199" t="str">
            <v>Mongolia - modelled</v>
          </cell>
          <cell r="Q199">
            <v>1E-3</v>
          </cell>
          <cell r="S199">
            <v>0</v>
          </cell>
          <cell r="T199">
            <v>0</v>
          </cell>
          <cell r="U199">
            <v>0</v>
          </cell>
        </row>
        <row r="200">
          <cell r="C200" t="str">
            <v>St Vincent and the Grenadines - modelled</v>
          </cell>
          <cell r="D200">
            <v>6.9999999999999999E-4</v>
          </cell>
          <cell r="E200">
            <v>8.0000000000000004E-4</v>
          </cell>
          <cell r="F200">
            <v>6.9999999999999999E-4</v>
          </cell>
          <cell r="G200">
            <v>8.0000000000000004E-4</v>
          </cell>
          <cell r="H200">
            <v>8.0000000000000004E-4</v>
          </cell>
          <cell r="I200">
            <v>1E-3</v>
          </cell>
          <cell r="O200">
            <v>0</v>
          </cell>
          <cell r="P200" t="str">
            <v>St Vincent and the Grenadines - modelled</v>
          </cell>
          <cell r="Q200">
            <v>1E-3</v>
          </cell>
          <cell r="S200">
            <v>0</v>
          </cell>
          <cell r="T200">
            <v>0</v>
          </cell>
          <cell r="U200">
            <v>0</v>
          </cell>
        </row>
        <row r="201">
          <cell r="C201" t="str">
            <v>Liechtenstein - modelled</v>
          </cell>
          <cell r="D201">
            <v>1.1999999999999999E-3</v>
          </cell>
          <cell r="E201">
            <v>1.1000000000000001E-3</v>
          </cell>
          <cell r="F201">
            <v>1.1000000000000001E-3</v>
          </cell>
          <cell r="G201">
            <v>1.1000000000000001E-3</v>
          </cell>
          <cell r="H201">
            <v>1.1000000000000001E-3</v>
          </cell>
          <cell r="I201">
            <v>1E-3</v>
          </cell>
          <cell r="O201">
            <v>0</v>
          </cell>
          <cell r="P201" t="str">
            <v>Liechtenstein - modelled</v>
          </cell>
          <cell r="Q201">
            <v>1E-3</v>
          </cell>
          <cell r="S201">
            <v>0</v>
          </cell>
          <cell r="T201">
            <v>0</v>
          </cell>
          <cell r="U201">
            <v>0</v>
          </cell>
        </row>
        <row r="202">
          <cell r="C202" t="str">
            <v>St Kitts - modelled</v>
          </cell>
          <cell r="D202">
            <v>6.9999999999999999E-4</v>
          </cell>
          <cell r="E202">
            <v>8.0000000000000004E-4</v>
          </cell>
          <cell r="F202">
            <v>6.9999999999999999E-4</v>
          </cell>
          <cell r="G202">
            <v>8.0000000000000004E-4</v>
          </cell>
          <cell r="H202">
            <v>8.0000000000000004E-4</v>
          </cell>
          <cell r="I202">
            <v>8.9999999999999998E-4</v>
          </cell>
          <cell r="O202">
            <v>0</v>
          </cell>
          <cell r="P202" t="str">
            <v>St Kitts - modelled</v>
          </cell>
          <cell r="Q202">
            <v>8.9999999999999998E-4</v>
          </cell>
          <cell r="S202">
            <v>0</v>
          </cell>
          <cell r="T202">
            <v>0</v>
          </cell>
          <cell r="U202">
            <v>0</v>
          </cell>
        </row>
        <row r="203">
          <cell r="C203" t="str">
            <v>Guyana - modelled</v>
          </cell>
          <cell r="D203">
            <v>4.0000000000000002E-4</v>
          </cell>
          <cell r="E203">
            <v>5.0000000000000001E-4</v>
          </cell>
          <cell r="F203">
            <v>4.0000000000000002E-4</v>
          </cell>
          <cell r="G203">
            <v>5.0000000000000001E-4</v>
          </cell>
          <cell r="H203">
            <v>6.9999999999999999E-4</v>
          </cell>
          <cell r="I203">
            <v>8.0000000000000004E-4</v>
          </cell>
          <cell r="O203">
            <v>0</v>
          </cell>
          <cell r="P203" t="str">
            <v>Guyana - modelled</v>
          </cell>
          <cell r="Q203">
            <v>8.0000000000000004E-4</v>
          </cell>
          <cell r="S203">
            <v>0</v>
          </cell>
          <cell r="T203">
            <v>0</v>
          </cell>
          <cell r="U203">
            <v>0</v>
          </cell>
        </row>
        <row r="204">
          <cell r="C204" t="str">
            <v>Equatorial Guinea - modelled</v>
          </cell>
          <cell r="D204">
            <v>6.9999999999999999E-4</v>
          </cell>
          <cell r="E204">
            <v>6.9999999999999999E-4</v>
          </cell>
          <cell r="F204">
            <v>6.9999999999999999E-4</v>
          </cell>
          <cell r="G204">
            <v>8.0000000000000004E-4</v>
          </cell>
          <cell r="H204">
            <v>8.0000000000000004E-4</v>
          </cell>
          <cell r="I204">
            <v>8.0000000000000004E-4</v>
          </cell>
          <cell r="O204">
            <v>0</v>
          </cell>
          <cell r="P204" t="str">
            <v>Equatorial Guinea - modelled</v>
          </cell>
          <cell r="Q204">
            <v>8.0000000000000004E-4</v>
          </cell>
          <cell r="S204">
            <v>0</v>
          </cell>
          <cell r="T204">
            <v>0</v>
          </cell>
          <cell r="U204">
            <v>0</v>
          </cell>
        </row>
        <row r="205">
          <cell r="C205" t="str">
            <v>British Virgin Islands - modelled</v>
          </cell>
          <cell r="D205">
            <v>6.9999999999999999E-4</v>
          </cell>
          <cell r="E205">
            <v>6.9999999999999999E-4</v>
          </cell>
          <cell r="F205">
            <v>6.9999999999999999E-4</v>
          </cell>
          <cell r="G205">
            <v>8.0000000000000004E-4</v>
          </cell>
          <cell r="H205">
            <v>8.0000000000000004E-4</v>
          </cell>
          <cell r="I205">
            <v>6.9999999999999999E-4</v>
          </cell>
          <cell r="O205">
            <v>0</v>
          </cell>
          <cell r="P205" t="str">
            <v>British Virgin Islands - modelled</v>
          </cell>
          <cell r="Q205">
            <v>6.9999999999999999E-4</v>
          </cell>
          <cell r="S205">
            <v>0</v>
          </cell>
          <cell r="T205">
            <v>0</v>
          </cell>
          <cell r="U205">
            <v>0</v>
          </cell>
        </row>
        <row r="206">
          <cell r="C206" t="str">
            <v>Cape Verde - modelled</v>
          </cell>
          <cell r="D206">
            <v>6.9999999999999999E-4</v>
          </cell>
          <cell r="E206">
            <v>5.9999999999999995E-4</v>
          </cell>
          <cell r="F206">
            <v>6.9999999999999999E-4</v>
          </cell>
          <cell r="G206">
            <v>6.9999999999999999E-4</v>
          </cell>
          <cell r="H206">
            <v>6.9999999999999999E-4</v>
          </cell>
          <cell r="I206">
            <v>6.9999999999999999E-4</v>
          </cell>
          <cell r="O206">
            <v>0</v>
          </cell>
          <cell r="P206" t="str">
            <v>Cape Verde - modelled</v>
          </cell>
          <cell r="Q206">
            <v>6.9999999999999999E-4</v>
          </cell>
          <cell r="S206">
            <v>0</v>
          </cell>
          <cell r="T206">
            <v>0</v>
          </cell>
          <cell r="U206">
            <v>0</v>
          </cell>
        </row>
        <row r="207">
          <cell r="C207" t="str">
            <v>American Samoa - modelled</v>
          </cell>
          <cell r="D207">
            <v>5.9999999999999995E-4</v>
          </cell>
          <cell r="E207">
            <v>5.9999999999999995E-4</v>
          </cell>
          <cell r="F207">
            <v>5.0000000000000001E-4</v>
          </cell>
          <cell r="G207">
            <v>5.9999999999999995E-4</v>
          </cell>
          <cell r="H207">
            <v>5.9999999999999995E-4</v>
          </cell>
          <cell r="I207">
            <v>5.9999999999999995E-4</v>
          </cell>
          <cell r="O207">
            <v>0</v>
          </cell>
          <cell r="P207" t="str">
            <v>American Samoa - modelled</v>
          </cell>
          <cell r="Q207">
            <v>5.9999999999999995E-4</v>
          </cell>
          <cell r="S207">
            <v>0</v>
          </cell>
          <cell r="T207">
            <v>0</v>
          </cell>
          <cell r="U207">
            <v>0</v>
          </cell>
        </row>
        <row r="208">
          <cell r="C208" t="str">
            <v>Bhutan - modelled</v>
          </cell>
          <cell r="D208">
            <v>5.0000000000000001E-4</v>
          </cell>
          <cell r="E208">
            <v>5.0000000000000001E-4</v>
          </cell>
          <cell r="F208">
            <v>5.0000000000000001E-4</v>
          </cell>
          <cell r="G208">
            <v>5.0000000000000001E-4</v>
          </cell>
          <cell r="H208">
            <v>5.9999999999999995E-4</v>
          </cell>
          <cell r="I208">
            <v>5.9999999999999995E-4</v>
          </cell>
          <cell r="O208">
            <v>0</v>
          </cell>
          <cell r="P208" t="str">
            <v>Bhutan - modelled</v>
          </cell>
          <cell r="Q208">
            <v>5.9999999999999995E-4</v>
          </cell>
          <cell r="S208">
            <v>0</v>
          </cell>
          <cell r="T208">
            <v>0</v>
          </cell>
          <cell r="U208">
            <v>0</v>
          </cell>
        </row>
        <row r="209">
          <cell r="C209" t="str">
            <v>Dominica - modelled</v>
          </cell>
          <cell r="D209">
            <v>5.0000000000000001E-4</v>
          </cell>
          <cell r="E209">
            <v>5.0000000000000001E-4</v>
          </cell>
          <cell r="F209">
            <v>5.0000000000000001E-4</v>
          </cell>
          <cell r="G209">
            <v>5.0000000000000001E-4</v>
          </cell>
          <cell r="H209">
            <v>5.0000000000000001E-4</v>
          </cell>
          <cell r="I209">
            <v>5.9999999999999995E-4</v>
          </cell>
          <cell r="O209">
            <v>0</v>
          </cell>
          <cell r="P209" t="str">
            <v>Dominica - modelled</v>
          </cell>
          <cell r="Q209">
            <v>5.9999999999999995E-4</v>
          </cell>
          <cell r="S209">
            <v>0</v>
          </cell>
          <cell r="T209">
            <v>0</v>
          </cell>
          <cell r="U209">
            <v>0</v>
          </cell>
        </row>
        <row r="210">
          <cell r="C210" t="str">
            <v>Grenada - modelled</v>
          </cell>
          <cell r="D210">
            <v>5.0000000000000001E-4</v>
          </cell>
          <cell r="E210">
            <v>5.0000000000000001E-4</v>
          </cell>
          <cell r="F210">
            <v>5.0000000000000001E-4</v>
          </cell>
          <cell r="G210">
            <v>5.0000000000000001E-4</v>
          </cell>
          <cell r="H210">
            <v>5.9999999999999995E-4</v>
          </cell>
          <cell r="I210">
            <v>5.9999999999999995E-4</v>
          </cell>
          <cell r="O210">
            <v>0</v>
          </cell>
          <cell r="P210" t="str">
            <v>Grenada - modelled</v>
          </cell>
          <cell r="Q210">
            <v>5.9999999999999995E-4</v>
          </cell>
          <cell r="S210">
            <v>0</v>
          </cell>
          <cell r="T210">
            <v>0</v>
          </cell>
          <cell r="U210">
            <v>0</v>
          </cell>
        </row>
        <row r="211">
          <cell r="C211" t="str">
            <v>Maldives - modelled</v>
          </cell>
          <cell r="D211">
            <v>4.0000000000000002E-4</v>
          </cell>
          <cell r="E211">
            <v>4.0000000000000002E-4</v>
          </cell>
          <cell r="F211">
            <v>4.0000000000000002E-4</v>
          </cell>
          <cell r="G211">
            <v>5.0000000000000001E-4</v>
          </cell>
          <cell r="H211">
            <v>5.0000000000000001E-4</v>
          </cell>
          <cell r="I211">
            <v>5.0000000000000001E-4</v>
          </cell>
          <cell r="O211">
            <v>0</v>
          </cell>
          <cell r="P211" t="str">
            <v>Maldives - modelled</v>
          </cell>
          <cell r="Q211">
            <v>5.0000000000000001E-4</v>
          </cell>
          <cell r="S211">
            <v>0</v>
          </cell>
          <cell r="T211">
            <v>0</v>
          </cell>
          <cell r="U211">
            <v>0</v>
          </cell>
        </row>
        <row r="212">
          <cell r="C212" t="str">
            <v>Eritrea - modelled</v>
          </cell>
          <cell r="D212">
            <v>2.9999999999999997E-4</v>
          </cell>
          <cell r="E212">
            <v>4.0000000000000002E-4</v>
          </cell>
          <cell r="F212">
            <v>4.0000000000000002E-4</v>
          </cell>
          <cell r="G212">
            <v>4.0000000000000002E-4</v>
          </cell>
          <cell r="H212">
            <v>4.0000000000000002E-4</v>
          </cell>
          <cell r="I212">
            <v>5.0000000000000001E-4</v>
          </cell>
          <cell r="O212">
            <v>0</v>
          </cell>
          <cell r="P212" t="str">
            <v>Eritrea - modelled</v>
          </cell>
          <cell r="Q212">
            <v>5.0000000000000001E-4</v>
          </cell>
          <cell r="S212">
            <v>0</v>
          </cell>
          <cell r="T212">
            <v>0</v>
          </cell>
          <cell r="U212">
            <v>0</v>
          </cell>
        </row>
        <row r="213">
          <cell r="C213" t="str">
            <v>Gambia - modelled</v>
          </cell>
          <cell r="D213">
            <v>4.0000000000000002E-4</v>
          </cell>
          <cell r="E213">
            <v>4.0000000000000002E-4</v>
          </cell>
          <cell r="F213">
            <v>4.0000000000000002E-4</v>
          </cell>
          <cell r="G213">
            <v>4.0000000000000002E-4</v>
          </cell>
          <cell r="H213">
            <v>4.0000000000000002E-4</v>
          </cell>
          <cell r="I213">
            <v>5.0000000000000001E-4</v>
          </cell>
          <cell r="O213">
            <v>0</v>
          </cell>
          <cell r="P213" t="str">
            <v>Gambia - modelled</v>
          </cell>
          <cell r="Q213">
            <v>5.0000000000000001E-4</v>
          </cell>
          <cell r="S213">
            <v>0</v>
          </cell>
          <cell r="T213">
            <v>0</v>
          </cell>
          <cell r="U213">
            <v>0</v>
          </cell>
        </row>
        <row r="214">
          <cell r="C214" t="str">
            <v>Guinea-Bissau - modelled</v>
          </cell>
          <cell r="D214">
            <v>4.0000000000000002E-4</v>
          </cell>
          <cell r="E214">
            <v>4.0000000000000002E-4</v>
          </cell>
          <cell r="F214">
            <v>4.0000000000000002E-4</v>
          </cell>
          <cell r="G214">
            <v>4.0000000000000002E-4</v>
          </cell>
          <cell r="H214">
            <v>4.0000000000000002E-4</v>
          </cell>
          <cell r="I214">
            <v>5.0000000000000001E-4</v>
          </cell>
          <cell r="O214">
            <v>0</v>
          </cell>
          <cell r="P214" t="str">
            <v>Guinea-Bissau - modelled</v>
          </cell>
          <cell r="Q214">
            <v>5.0000000000000001E-4</v>
          </cell>
          <cell r="S214">
            <v>0</v>
          </cell>
          <cell r="T214">
            <v>0</v>
          </cell>
          <cell r="U214">
            <v>0</v>
          </cell>
        </row>
        <row r="215">
          <cell r="C215" t="str">
            <v>Seychelles - modelled</v>
          </cell>
          <cell r="D215">
            <v>5.9999999999999995E-4</v>
          </cell>
          <cell r="E215">
            <v>5.9999999999999995E-4</v>
          </cell>
          <cell r="F215">
            <v>5.9999999999999995E-4</v>
          </cell>
          <cell r="G215">
            <v>5.9999999999999995E-4</v>
          </cell>
          <cell r="H215">
            <v>5.0000000000000001E-4</v>
          </cell>
          <cell r="I215">
            <v>5.0000000000000001E-4</v>
          </cell>
          <cell r="O215">
            <v>0</v>
          </cell>
          <cell r="P215" t="str">
            <v>Seychelles - modelled</v>
          </cell>
          <cell r="Q215">
            <v>5.0000000000000001E-4</v>
          </cell>
          <cell r="S215">
            <v>0</v>
          </cell>
          <cell r="T215">
            <v>0</v>
          </cell>
          <cell r="U215">
            <v>0</v>
          </cell>
        </row>
        <row r="216">
          <cell r="C216" t="str">
            <v>Djibouti - modelled</v>
          </cell>
          <cell r="D216">
            <v>2.9999999999999997E-4</v>
          </cell>
          <cell r="E216">
            <v>2.9999999999999997E-4</v>
          </cell>
          <cell r="F216">
            <v>2.9999999999999997E-4</v>
          </cell>
          <cell r="G216">
            <v>2.9999999999999997E-4</v>
          </cell>
          <cell r="H216">
            <v>4.0000000000000002E-4</v>
          </cell>
          <cell r="I216">
            <v>4.0000000000000002E-4</v>
          </cell>
          <cell r="O216">
            <v>0</v>
          </cell>
          <cell r="P216" t="str">
            <v>Djibouti - modelled</v>
          </cell>
          <cell r="Q216">
            <v>4.0000000000000002E-4</v>
          </cell>
          <cell r="S216">
            <v>0</v>
          </cell>
          <cell r="T216">
            <v>0</v>
          </cell>
          <cell r="U216">
            <v>0</v>
          </cell>
        </row>
        <row r="217">
          <cell r="C217" t="str">
            <v>Gibraltar - modelled</v>
          </cell>
          <cell r="D217">
            <v>4.0000000000000002E-4</v>
          </cell>
          <cell r="E217">
            <v>4.0000000000000002E-4</v>
          </cell>
          <cell r="F217">
            <v>4.0000000000000002E-4</v>
          </cell>
          <cell r="G217">
            <v>4.0000000000000002E-4</v>
          </cell>
          <cell r="H217">
            <v>4.0000000000000002E-4</v>
          </cell>
          <cell r="I217">
            <v>4.0000000000000002E-4</v>
          </cell>
          <cell r="O217">
            <v>0</v>
          </cell>
          <cell r="P217" t="str">
            <v>Gibraltar - modelled</v>
          </cell>
          <cell r="Q217">
            <v>4.0000000000000002E-4</v>
          </cell>
          <cell r="S217">
            <v>0</v>
          </cell>
          <cell r="T217">
            <v>0</v>
          </cell>
          <cell r="U217">
            <v>0</v>
          </cell>
        </row>
        <row r="218">
          <cell r="C218" t="str">
            <v>Solomon Islands - modelled</v>
          </cell>
          <cell r="D218">
            <v>2.9999999999999997E-4</v>
          </cell>
          <cell r="E218">
            <v>2.9999999999999997E-4</v>
          </cell>
          <cell r="F218">
            <v>2.9999999999999997E-4</v>
          </cell>
          <cell r="G218">
            <v>2.9999999999999997E-4</v>
          </cell>
          <cell r="H218">
            <v>2.9999999999999997E-4</v>
          </cell>
          <cell r="I218">
            <v>2.9999999999999997E-4</v>
          </cell>
          <cell r="O218">
            <v>0</v>
          </cell>
          <cell r="P218" t="str">
            <v>Solomon Islands - modelled</v>
          </cell>
          <cell r="Q218">
            <v>2.9999999999999997E-4</v>
          </cell>
          <cell r="S218">
            <v>0</v>
          </cell>
          <cell r="T218">
            <v>0</v>
          </cell>
          <cell r="U218">
            <v>0</v>
          </cell>
        </row>
        <row r="219">
          <cell r="C219" t="str">
            <v>Vanuatu - modelled</v>
          </cell>
          <cell r="D219">
            <v>2.9999999999999997E-4</v>
          </cell>
          <cell r="E219">
            <v>2.9999999999999997E-4</v>
          </cell>
          <cell r="F219">
            <v>2.9999999999999997E-4</v>
          </cell>
          <cell r="G219">
            <v>2.9999999999999997E-4</v>
          </cell>
          <cell r="H219">
            <v>2.9999999999999997E-4</v>
          </cell>
          <cell r="I219">
            <v>2.9999999999999997E-4</v>
          </cell>
          <cell r="O219">
            <v>0</v>
          </cell>
          <cell r="P219" t="str">
            <v>Vanuatu - modelled</v>
          </cell>
          <cell r="Q219">
            <v>2.9999999999999997E-4</v>
          </cell>
          <cell r="S219">
            <v>0</v>
          </cell>
          <cell r="T219">
            <v>0</v>
          </cell>
          <cell r="U219">
            <v>0</v>
          </cell>
        </row>
        <row r="220">
          <cell r="C220" t="str">
            <v>Samoa - modelled</v>
          </cell>
          <cell r="D220">
            <v>2.0000000000000001E-4</v>
          </cell>
          <cell r="E220">
            <v>2.0000000000000001E-4</v>
          </cell>
          <cell r="F220">
            <v>2.0000000000000001E-4</v>
          </cell>
          <cell r="G220">
            <v>2.0000000000000001E-4</v>
          </cell>
          <cell r="H220">
            <v>2.0000000000000001E-4</v>
          </cell>
          <cell r="I220">
            <v>2.0000000000000001E-4</v>
          </cell>
          <cell r="O220">
            <v>0</v>
          </cell>
          <cell r="P220" t="str">
            <v>Samoa - modelled</v>
          </cell>
          <cell r="Q220">
            <v>2.0000000000000001E-4</v>
          </cell>
          <cell r="S220">
            <v>0</v>
          </cell>
          <cell r="T220">
            <v>0</v>
          </cell>
          <cell r="U220">
            <v>0</v>
          </cell>
        </row>
        <row r="221">
          <cell r="C221" t="str">
            <v>Tonga - modelled</v>
          </cell>
          <cell r="D221">
            <v>2.0000000000000001E-4</v>
          </cell>
          <cell r="E221">
            <v>2.0000000000000001E-4</v>
          </cell>
          <cell r="F221">
            <v>2.0000000000000001E-4</v>
          </cell>
          <cell r="G221">
            <v>2.0000000000000001E-4</v>
          </cell>
          <cell r="H221">
            <v>2.0000000000000001E-4</v>
          </cell>
          <cell r="I221">
            <v>2.0000000000000001E-4</v>
          </cell>
          <cell r="O221">
            <v>0</v>
          </cell>
          <cell r="P221" t="str">
            <v>Tonga - modelled</v>
          </cell>
          <cell r="Q221">
            <v>2.0000000000000001E-4</v>
          </cell>
          <cell r="S221">
            <v>0</v>
          </cell>
          <cell r="T221">
            <v>0</v>
          </cell>
          <cell r="U221">
            <v>0</v>
          </cell>
        </row>
        <row r="222">
          <cell r="C222" t="str">
            <v>Anguilla - modelled</v>
          </cell>
          <cell r="D222">
            <v>1E-4</v>
          </cell>
          <cell r="E222">
            <v>1E-4</v>
          </cell>
          <cell r="F222">
            <v>1E-4</v>
          </cell>
          <cell r="G222">
            <v>1E-4</v>
          </cell>
          <cell r="H222">
            <v>2.0000000000000001E-4</v>
          </cell>
          <cell r="I222">
            <v>2.0000000000000001E-4</v>
          </cell>
          <cell r="O222">
            <v>0</v>
          </cell>
          <cell r="P222" t="str">
            <v>Anguilla - modelled</v>
          </cell>
          <cell r="Q222">
            <v>2.0000000000000001E-4</v>
          </cell>
          <cell r="S222">
            <v>0</v>
          </cell>
          <cell r="T222">
            <v>0</v>
          </cell>
          <cell r="U222">
            <v>0</v>
          </cell>
        </row>
        <row r="223">
          <cell r="C223" t="str">
            <v>Kiribati - modelled</v>
          </cell>
          <cell r="D223">
            <v>1E-4</v>
          </cell>
          <cell r="E223">
            <v>1E-4</v>
          </cell>
          <cell r="F223">
            <v>1E-4</v>
          </cell>
          <cell r="G223">
            <v>1E-4</v>
          </cell>
          <cell r="H223">
            <v>1E-4</v>
          </cell>
          <cell r="I223">
            <v>1E-4</v>
          </cell>
          <cell r="O223">
            <v>0</v>
          </cell>
          <cell r="P223" t="str">
            <v>Kiribati - modelled</v>
          </cell>
          <cell r="Q223">
            <v>1E-4</v>
          </cell>
          <cell r="S223">
            <v>0</v>
          </cell>
          <cell r="T223">
            <v>0</v>
          </cell>
          <cell r="U223">
            <v>0</v>
          </cell>
        </row>
        <row r="224">
          <cell r="C224" t="str">
            <v>Nauru - modelled</v>
          </cell>
          <cell r="D224">
            <v>2.0000000000000001E-4</v>
          </cell>
          <cell r="E224">
            <v>2.0000000000000001E-4</v>
          </cell>
          <cell r="F224">
            <v>2.0000000000000001E-4</v>
          </cell>
          <cell r="G224">
            <v>2.0000000000000001E-4</v>
          </cell>
          <cell r="H224">
            <v>1E-4</v>
          </cell>
          <cell r="I224">
            <v>1E-4</v>
          </cell>
          <cell r="O224">
            <v>0</v>
          </cell>
          <cell r="P224" t="str">
            <v>Nauru - modelled</v>
          </cell>
          <cell r="Q224">
            <v>1E-4</v>
          </cell>
          <cell r="S224">
            <v>0</v>
          </cell>
          <cell r="T224">
            <v>0</v>
          </cell>
          <cell r="U224">
            <v>0</v>
          </cell>
        </row>
        <row r="225">
          <cell r="C225" t="str">
            <v>Tuvalu - modelled</v>
          </cell>
          <cell r="D225">
            <v>0</v>
          </cell>
          <cell r="E225">
            <v>0</v>
          </cell>
          <cell r="F225">
            <v>0</v>
          </cell>
          <cell r="G225">
            <v>0</v>
          </cell>
          <cell r="H225">
            <v>0</v>
          </cell>
          <cell r="I225">
            <v>0</v>
          </cell>
          <cell r="O225">
            <v>0</v>
          </cell>
          <cell r="P225" t="str">
            <v>Tuvalu - modelled</v>
          </cell>
          <cell r="Q225">
            <v>0</v>
          </cell>
          <cell r="S225">
            <v>0</v>
          </cell>
          <cell r="T225">
            <v>0</v>
          </cell>
          <cell r="U225">
            <v>0</v>
          </cell>
        </row>
        <row r="226">
          <cell r="C226" t="str">
            <v>Sao Tomé e Príncipe - modelled</v>
          </cell>
          <cell r="D226">
            <v>0</v>
          </cell>
          <cell r="E226">
            <v>0</v>
          </cell>
          <cell r="F226">
            <v>0</v>
          </cell>
          <cell r="G226">
            <v>0</v>
          </cell>
          <cell r="H226">
            <v>0</v>
          </cell>
          <cell r="I226">
            <v>0</v>
          </cell>
          <cell r="O226">
            <v>0</v>
          </cell>
          <cell r="P226" t="str">
            <v>Sao Tomé e Príncipe - modelled</v>
          </cell>
          <cell r="Q226">
            <v>0</v>
          </cell>
          <cell r="S226">
            <v>0</v>
          </cell>
          <cell r="T226">
            <v>0</v>
          </cell>
          <cell r="U226">
            <v>0</v>
          </cell>
        </row>
        <row r="227">
          <cell r="C227" t="str">
            <v>Total Top 20 Markets</v>
          </cell>
          <cell r="D227">
            <v>40.534700000000001</v>
          </cell>
          <cell r="E227">
            <v>42.341300000000004</v>
          </cell>
          <cell r="F227">
            <v>44.095999999999997</v>
          </cell>
          <cell r="G227">
            <v>46.314400000000006</v>
          </cell>
          <cell r="H227">
            <v>48.387100000000004</v>
          </cell>
          <cell r="I227">
            <v>49.749700000000004</v>
          </cell>
          <cell r="K227">
            <v>2.8160398122640151E-2</v>
          </cell>
          <cell r="L227">
            <v>4.1031226701996104E-2</v>
          </cell>
          <cell r="M227">
            <v>4.182002450316169E-2</v>
          </cell>
          <cell r="P227" t="str">
            <v xml:space="preserve">Total Top 20 </v>
          </cell>
          <cell r="Q227">
            <v>49.749700000000004</v>
          </cell>
          <cell r="S227">
            <v>2.8160398122640151E-2</v>
          </cell>
          <cell r="T227">
            <v>4.1031226701996104E-2</v>
          </cell>
          <cell r="U227">
            <v>4.182002450316169E-2</v>
          </cell>
          <cell r="X227" t="str">
            <v>ACV Sales Mix, 2009E</v>
          </cell>
          <cell r="AB227" t="str">
            <v>Mix</v>
          </cell>
        </row>
        <row r="228">
          <cell r="C228" t="str">
            <v>Existing ACV Top 20 Markets</v>
          </cell>
          <cell r="D228">
            <v>16.462900000000001</v>
          </cell>
          <cell r="E228">
            <v>16.878799999999998</v>
          </cell>
          <cell r="F228">
            <v>17.490300000000001</v>
          </cell>
          <cell r="G228">
            <v>18.170200000000001</v>
          </cell>
          <cell r="H228">
            <v>18.640899999999998</v>
          </cell>
          <cell r="I228">
            <v>18.915499999999998</v>
          </cell>
          <cell r="J228">
            <v>0</v>
          </cell>
          <cell r="K228">
            <v>1.4731048393586077E-2</v>
          </cell>
          <cell r="L228">
            <v>2.6455648565500756E-2</v>
          </cell>
          <cell r="M228">
            <v>2.8163771839743168E-2</v>
          </cell>
          <cell r="P228" t="str">
            <v>Existing Markets</v>
          </cell>
          <cell r="Q228">
            <v>18.915499999999998</v>
          </cell>
          <cell r="S228">
            <v>1.4731048393586077E-2</v>
          </cell>
          <cell r="T228">
            <v>2.6455648565500756E-2</v>
          </cell>
          <cell r="U228">
            <v>2.8163771839743168E-2</v>
          </cell>
          <cell r="X228" t="str">
            <v xml:space="preserve">International </v>
          </cell>
          <cell r="AA228">
            <v>516.98400000000004</v>
          </cell>
          <cell r="AB228">
            <v>0.36052385667861481</v>
          </cell>
        </row>
        <row r="229">
          <cell r="C229" t="str">
            <v>Remaining Top 20 Opportunity</v>
          </cell>
          <cell r="D229">
            <v>24.0718</v>
          </cell>
          <cell r="E229">
            <v>25.462500000000006</v>
          </cell>
          <cell r="F229">
            <v>26.605699999999995</v>
          </cell>
          <cell r="G229">
            <v>28.144200000000005</v>
          </cell>
          <cell r="H229">
            <v>29.746200000000005</v>
          </cell>
          <cell r="I229">
            <v>30.834200000000006</v>
          </cell>
          <cell r="J229">
            <v>0</v>
          </cell>
          <cell r="K229">
            <v>3.6576100476699569E-2</v>
          </cell>
          <cell r="L229">
            <v>5.0395046674701627E-2</v>
          </cell>
          <cell r="M229">
            <v>5.0763125664890163E-2</v>
          </cell>
          <cell r="P229" t="str">
            <v>Potential Markets</v>
          </cell>
          <cell r="Q229">
            <v>30.834200000000006</v>
          </cell>
          <cell r="S229">
            <v>3.6576100476699569E-2</v>
          </cell>
          <cell r="T229">
            <v>5.0395046674701627E-2</v>
          </cell>
          <cell r="U229">
            <v>5.0763125664890163E-2</v>
          </cell>
          <cell r="X229" t="str">
            <v>US</v>
          </cell>
          <cell r="AA229">
            <v>916.99599999999998</v>
          </cell>
          <cell r="AB229">
            <v>0.63947614332138525</v>
          </cell>
        </row>
        <row r="230">
          <cell r="I230">
            <v>0.16129553903345725</v>
          </cell>
          <cell r="X230" t="str">
            <v xml:space="preserve">Total </v>
          </cell>
          <cell r="AA230">
            <v>1433.98</v>
          </cell>
        </row>
        <row r="231">
          <cell r="B231" t="str">
            <v xml:space="preserve">Source: Euromonitor and Morgan Stanley estimates. </v>
          </cell>
          <cell r="AA231" t="str">
            <v>5 New Intl Mkts</v>
          </cell>
          <cell r="AB231" t="str">
            <v>5 Additional Mkts</v>
          </cell>
          <cell r="AD231" t="str">
            <v>CAGR</v>
          </cell>
          <cell r="AG231" t="str">
            <v>Impact on Total ACV Topline</v>
          </cell>
        </row>
        <row r="232">
          <cell r="B232" t="str">
            <v xml:space="preserve">Note: Existing ACV markets in BOLD font. </v>
          </cell>
          <cell r="AA232" t="str">
            <v>2010-2014</v>
          </cell>
          <cell r="AB232" t="str">
            <v>2015-2019</v>
          </cell>
          <cell r="AD232" t="str">
            <v>5-Year</v>
          </cell>
          <cell r="AE232" t="str">
            <v>10-Year</v>
          </cell>
          <cell r="AG232" t="str">
            <v>5-Year</v>
          </cell>
          <cell r="AH232" t="str">
            <v>10-Year</v>
          </cell>
        </row>
        <row r="233">
          <cell r="X233" t="str">
            <v>Haircare Mix</v>
          </cell>
          <cell r="AA233">
            <v>0.82499999999999996</v>
          </cell>
          <cell r="AB233">
            <v>0.82499999999999996</v>
          </cell>
        </row>
        <row r="234">
          <cell r="D234">
            <v>2003</v>
          </cell>
          <cell r="E234">
            <v>2004</v>
          </cell>
          <cell r="F234">
            <v>2005</v>
          </cell>
          <cell r="G234">
            <v>2006</v>
          </cell>
          <cell r="H234">
            <v>2007</v>
          </cell>
          <cell r="I234">
            <v>2008</v>
          </cell>
          <cell r="J234">
            <v>0</v>
          </cell>
          <cell r="K234" t="str">
            <v>1 Year</v>
          </cell>
          <cell r="L234" t="str">
            <v>3 Year</v>
          </cell>
          <cell r="M234" t="str">
            <v>5 Year</v>
          </cell>
          <cell r="X234" t="str">
            <v>Estimated Intl. Haircare Sales</v>
          </cell>
          <cell r="AA234">
            <v>426.51179999999999</v>
          </cell>
          <cell r="AB234">
            <v>426.51179999999999</v>
          </cell>
        </row>
        <row r="235">
          <cell r="B235" t="str">
            <v>5 Year</v>
          </cell>
          <cell r="C235" t="str">
            <v>Five New Intl. Mkts</v>
          </cell>
          <cell r="D235">
            <v>11.504</v>
          </cell>
          <cell r="E235">
            <v>12.453700000000001</v>
          </cell>
          <cell r="F235">
            <v>13.011600000000001</v>
          </cell>
          <cell r="G235">
            <v>13.5581</v>
          </cell>
          <cell r="H235">
            <v>14.4366</v>
          </cell>
          <cell r="I235">
            <v>14.753299999999999</v>
          </cell>
          <cell r="K235">
            <v>2.1937298255821913E-2</v>
          </cell>
          <cell r="L235">
            <v>4.2764305587838836E-2</v>
          </cell>
          <cell r="M235">
            <v>5.1012932870639682E-2</v>
          </cell>
          <cell r="X235" t="str">
            <v>Multiplier (below)</v>
          </cell>
          <cell r="AA235">
            <v>1.7001394378694816</v>
          </cell>
          <cell r="AB235">
            <v>1.5406156009080747</v>
          </cell>
        </row>
        <row r="236">
          <cell r="B236" t="str">
            <v>10 Year</v>
          </cell>
          <cell r="C236" t="str">
            <v>Three Additional Mkts</v>
          </cell>
          <cell r="D236">
            <v>10.6494</v>
          </cell>
          <cell r="E236">
            <v>10.992100000000001</v>
          </cell>
          <cell r="F236">
            <v>11.431900000000001</v>
          </cell>
          <cell r="G236">
            <v>12.252800000000001</v>
          </cell>
          <cell r="H236">
            <v>12.789200000000001</v>
          </cell>
          <cell r="I236">
            <v>13.369</v>
          </cell>
          <cell r="J236">
            <v>0</v>
          </cell>
          <cell r="K236">
            <v>4.5335126512995316E-2</v>
          </cell>
          <cell r="L236">
            <v>5.3562171679175652E-2</v>
          </cell>
          <cell r="M236">
            <v>4.6537408217370624E-2</v>
          </cell>
          <cell r="X236" t="str">
            <v>Pro-Forma Total Five New Mkt Opp.</v>
          </cell>
          <cell r="AA236">
            <v>725.12953189670077</v>
          </cell>
          <cell r="AB236">
            <v>657.09073305138452</v>
          </cell>
          <cell r="AF236" t="str">
            <v>Initial Five Mkts</v>
          </cell>
          <cell r="AG236">
            <v>220.55773739951866</v>
          </cell>
          <cell r="AH236">
            <v>268.34221135390146</v>
          </cell>
          <cell r="AL236" t="str">
            <v>Tranche1</v>
          </cell>
          <cell r="AN236">
            <v>0.04</v>
          </cell>
        </row>
        <row r="237">
          <cell r="X237" t="str">
            <v>Haircut</v>
          </cell>
          <cell r="AA237">
            <v>0.75</v>
          </cell>
          <cell r="AB237">
            <v>0.75</v>
          </cell>
          <cell r="AF237" t="str">
            <v>Second Five Mkts</v>
          </cell>
          <cell r="AG237" t="str">
            <v>na</v>
          </cell>
          <cell r="AH237">
            <v>220.76874971574787</v>
          </cell>
          <cell r="AL237">
            <v>36.256476594835036</v>
          </cell>
          <cell r="AN237">
            <v>1</v>
          </cell>
          <cell r="AO237">
            <v>2</v>
          </cell>
          <cell r="AP237">
            <v>3</v>
          </cell>
          <cell r="AQ237">
            <v>4</v>
          </cell>
          <cell r="AR237">
            <v>4</v>
          </cell>
          <cell r="AS237">
            <v>5</v>
          </cell>
        </row>
        <row r="238">
          <cell r="C238" t="str">
            <v>Existing ACV Top 20 Markets</v>
          </cell>
          <cell r="D238">
            <v>18.915499999999998</v>
          </cell>
          <cell r="X238" t="str">
            <v xml:space="preserve">Adjusted Five New Mkt Opp. </v>
          </cell>
          <cell r="AA238">
            <v>181.28238297417519</v>
          </cell>
          <cell r="AB238">
            <v>164.27268326284613</v>
          </cell>
          <cell r="AD238">
            <v>220.55773739951866</v>
          </cell>
          <cell r="AE238">
            <v>489.11096106964931</v>
          </cell>
          <cell r="AF238" t="str">
            <v>Initial Five Mkts</v>
          </cell>
          <cell r="AG238">
            <v>2.9026873246931206E-2</v>
          </cell>
          <cell r="AH238">
            <v>1.730192700690325E-2</v>
          </cell>
          <cell r="AN238">
            <v>37.706735658628439</v>
          </cell>
          <cell r="AO238">
            <v>39.215005084973576</v>
          </cell>
          <cell r="AP238">
            <v>40.78360528837252</v>
          </cell>
          <cell r="AR238">
            <v>42.414949499907429</v>
          </cell>
          <cell r="AS238">
            <v>44.111547479903727</v>
          </cell>
        </row>
        <row r="239">
          <cell r="C239" t="str">
            <v>Remaining Top 20 Opportunity</v>
          </cell>
          <cell r="D239">
            <v>30.834200000000006</v>
          </cell>
          <cell r="X239" t="str">
            <v xml:space="preserve">  CAGR Assumptions</v>
          </cell>
          <cell r="AF239" t="str">
            <v>Second Five</v>
          </cell>
          <cell r="AG239">
            <v>0</v>
          </cell>
          <cell r="AH239">
            <v>1.4422554659405007E-2</v>
          </cell>
          <cell r="AO239">
            <v>39.215005084973576</v>
          </cell>
          <cell r="AP239">
            <v>40.78360528837252</v>
          </cell>
          <cell r="AQ239">
            <v>0</v>
          </cell>
          <cell r="AR239">
            <v>42.414949499907429</v>
          </cell>
          <cell r="AS239">
            <v>44.111547479903727</v>
          </cell>
        </row>
        <row r="240">
          <cell r="X240" t="str">
            <v xml:space="preserve">  5 New Mkts</v>
          </cell>
          <cell r="AD240">
            <v>0.04</v>
          </cell>
          <cell r="AE240">
            <v>0.04</v>
          </cell>
          <cell r="AF240" t="str">
            <v>Total Impact</v>
          </cell>
          <cell r="AG240">
            <v>2.9026873246931206E-2</v>
          </cell>
          <cell r="AH240">
            <v>3.1724481666308257E-2</v>
          </cell>
          <cell r="AP240">
            <v>40.78360528837252</v>
          </cell>
          <cell r="AR240">
            <v>42.414949499907429</v>
          </cell>
          <cell r="AS240">
            <v>44.111547479903727</v>
          </cell>
        </row>
        <row r="241">
          <cell r="C241" t="str">
            <v>Pro-Forma Top 20 Markets</v>
          </cell>
          <cell r="D241">
            <v>47.037799999999997</v>
          </cell>
          <cell r="X241" t="str">
            <v xml:space="preserve">  5 Additional Markets</v>
          </cell>
          <cell r="AE241">
            <v>0.03</v>
          </cell>
          <cell r="AG241">
            <v>2.9026873246931206E-2</v>
          </cell>
          <cell r="AR241">
            <v>42.414949499907429</v>
          </cell>
          <cell r="AS241">
            <v>44.111547479903727</v>
          </cell>
        </row>
        <row r="242">
          <cell r="C242" t="str">
            <v>Remaining Top 20 Opportunity</v>
          </cell>
          <cell r="D242">
            <v>2.7119000000000071</v>
          </cell>
          <cell r="AA242" t="str">
            <v>5 New Mkts</v>
          </cell>
          <cell r="AB242" t="str">
            <v>5 Additonal Mkts</v>
          </cell>
          <cell r="AS242">
            <v>44.111547479903727</v>
          </cell>
        </row>
        <row r="243">
          <cell r="X243" t="str">
            <v>Existing Intl. Mkts</v>
          </cell>
          <cell r="AA243">
            <v>8.6776999999999997</v>
          </cell>
          <cell r="AB243">
            <v>8.6776999999999997</v>
          </cell>
          <cell r="AD243">
            <v>1.4999999999999999E-2</v>
          </cell>
          <cell r="AE243">
            <v>0.01</v>
          </cell>
          <cell r="AF243">
            <v>9.3483474005074338</v>
          </cell>
          <cell r="AG243">
            <v>9.5855794176808118</v>
          </cell>
          <cell r="AN243">
            <v>37.706735658628439</v>
          </cell>
          <cell r="AO243">
            <v>78.430010169947153</v>
          </cell>
          <cell r="AP243">
            <v>122.35081586511757</v>
          </cell>
          <cell r="AQ243">
            <v>0</v>
          </cell>
          <cell r="AR243">
            <v>169.65979799962972</v>
          </cell>
          <cell r="AS243">
            <v>220.55773739951863</v>
          </cell>
        </row>
        <row r="244">
          <cell r="X244" t="str">
            <v>Select Mkts</v>
          </cell>
          <cell r="AA244">
            <v>14.753299999999999</v>
          </cell>
          <cell r="AB244">
            <v>13.369</v>
          </cell>
          <cell r="AD244">
            <v>2.75E-2</v>
          </cell>
          <cell r="AE244">
            <v>3.7499999999999999E-2</v>
          </cell>
          <cell r="AF244">
            <v>16.896561226742616</v>
          </cell>
          <cell r="AG244">
            <v>40.637959267847215</v>
          </cell>
        </row>
        <row r="245">
          <cell r="X245" t="str">
            <v>Multiplier</v>
          </cell>
          <cell r="AA245">
            <v>1.7001394378694816</v>
          </cell>
          <cell r="AB245">
            <v>1.5406156009080747</v>
          </cell>
          <cell r="AF245">
            <v>1.8074383099867963</v>
          </cell>
          <cell r="AG245">
            <v>4.2394890801164928</v>
          </cell>
        </row>
        <row r="246">
          <cell r="AF246">
            <v>0.25</v>
          </cell>
          <cell r="AG246">
            <v>0.25</v>
          </cell>
        </row>
        <row r="247">
          <cell r="X247" t="str">
            <v xml:space="preserve">SUMMARY FOR INITIATION </v>
          </cell>
          <cell r="AF247">
            <v>192.72344174535661</v>
          </cell>
          <cell r="AG247">
            <v>452.04802966020736</v>
          </cell>
        </row>
        <row r="248">
          <cell r="X248" t="str">
            <v>ACV International Sales - FY09E</v>
          </cell>
          <cell r="Y248">
            <v>516.98400000000004</v>
          </cell>
          <cell r="AF248">
            <v>2.5541072270056642E-2</v>
          </cell>
          <cell r="AG248">
            <v>2.778081066226723E-2</v>
          </cell>
        </row>
        <row r="249">
          <cell r="X249" t="str">
            <v>Estimated Haircare Mix</v>
          </cell>
          <cell r="Y249">
            <v>0.82499999999999996</v>
          </cell>
        </row>
        <row r="250">
          <cell r="X250" t="str">
            <v>ACV Haircare Sales - FY09E</v>
          </cell>
          <cell r="Y250">
            <v>426.51179999999999</v>
          </cell>
          <cell r="AF250">
            <v>770.89376698142644</v>
          </cell>
          <cell r="AG250">
            <v>1808.1921186408294</v>
          </cell>
        </row>
        <row r="251">
          <cell r="X251" t="str">
            <v xml:space="preserve">  Multiplier - 5 Additional Markets (Years 1-5)</v>
          </cell>
          <cell r="Y251">
            <v>1.7001394378694816</v>
          </cell>
          <cell r="AF251">
            <v>192.72344174535661</v>
          </cell>
          <cell r="AG251">
            <v>452.04802966020736</v>
          </cell>
        </row>
        <row r="252">
          <cell r="X252" t="str">
            <v xml:space="preserve">  Multiplier - 4 Additional Markets (Years 6-10)</v>
          </cell>
          <cell r="Y252">
            <v>1.5406156009080747</v>
          </cell>
        </row>
        <row r="253">
          <cell r="X253" t="str">
            <v>Market Opportunity ($)1</v>
          </cell>
        </row>
        <row r="254">
          <cell r="X254" t="str">
            <v xml:space="preserve">  First 5 Additional Markets (Years 1-5)2</v>
          </cell>
          <cell r="Y254">
            <v>181.28238297417519</v>
          </cell>
        </row>
        <row r="255">
          <cell r="X255" t="str">
            <v xml:space="preserve">  Second 4 Additional Markets (Years 6-10)3</v>
          </cell>
          <cell r="Y255">
            <v>164.27268326284613</v>
          </cell>
        </row>
        <row r="256">
          <cell r="X256" t="str">
            <v>MS Estimated Market CAGR</v>
          </cell>
        </row>
        <row r="257">
          <cell r="X257" t="str">
            <v xml:space="preserve">  First 5 Additional Markets (Years 1-5)2</v>
          </cell>
          <cell r="Y257">
            <v>0.04</v>
          </cell>
        </row>
        <row r="258">
          <cell r="X258" t="str">
            <v xml:space="preserve">  Second 4 Additional Markets (Years 6-10)3</v>
          </cell>
          <cell r="Y258">
            <v>0.03</v>
          </cell>
        </row>
        <row r="259">
          <cell r="X259" t="str">
            <v>Impact on Total ACV Topline</v>
          </cell>
        </row>
        <row r="260">
          <cell r="X260" t="str">
            <v xml:space="preserve">  5-Year2</v>
          </cell>
          <cell r="Y260">
            <v>2.9026873246931206E-2</v>
          </cell>
        </row>
        <row r="261">
          <cell r="X261" t="str">
            <v xml:space="preserve">  10-Year2,3</v>
          </cell>
          <cell r="Y261">
            <v>1.730192700690325E-2</v>
          </cell>
        </row>
        <row r="262">
          <cell r="X262" t="str">
            <v>*Includes 75% Haircut</v>
          </cell>
        </row>
        <row r="263">
          <cell r="X263" t="str">
            <v xml:space="preserve">SUMMARY FOR INITIATION </v>
          </cell>
        </row>
        <row r="264">
          <cell r="Y264" t="str">
            <v>1-5 Year</v>
          </cell>
          <cell r="Z264" t="str">
            <v>6-10 Year</v>
          </cell>
        </row>
        <row r="265">
          <cell r="X265" t="str">
            <v>(a) ACV International Sales - FY09E</v>
          </cell>
          <cell r="Y265">
            <v>516.98400000000004</v>
          </cell>
          <cell r="Z265">
            <v>516.98400000000004</v>
          </cell>
        </row>
        <row r="266">
          <cell r="X266" t="str">
            <v>(b) Estimated Haircare Mix</v>
          </cell>
          <cell r="Y266">
            <v>0.82499999999999996</v>
          </cell>
          <cell r="Z266">
            <v>0.82499999999999996</v>
          </cell>
        </row>
        <row r="267">
          <cell r="X267" t="str">
            <v>(c) ACV Haircare Sales - FY09E ( a x b)</v>
          </cell>
          <cell r="Y267">
            <v>426.51179999999999</v>
          </cell>
          <cell r="Z267">
            <v>426.51179999999999</v>
          </cell>
        </row>
        <row r="268">
          <cell r="X268" t="str">
            <v>(d) Adjusting for Market Sizes1,2</v>
          </cell>
          <cell r="Y268">
            <v>1.7001394378694816</v>
          </cell>
          <cell r="Z268">
            <v>1.5406156009080747</v>
          </cell>
        </row>
        <row r="269">
          <cell r="X269" t="str">
            <v xml:space="preserve">(e) Adjusting for Lower Market Share </v>
          </cell>
          <cell r="Y269">
            <v>0.25</v>
          </cell>
          <cell r="Z269">
            <v>0.25</v>
          </cell>
        </row>
        <row r="270">
          <cell r="X270" t="str">
            <v>(f) MS Estimated Market CAGR</v>
          </cell>
          <cell r="Y270">
            <v>0.04</v>
          </cell>
          <cell r="Z270">
            <v>0.03</v>
          </cell>
        </row>
        <row r="271">
          <cell r="X271" t="str">
            <v xml:space="preserve">(g) Market Opportunity ($) ( c x d x e) x (1 + g )x </v>
          </cell>
          <cell r="Y271">
            <v>220.55773739951866</v>
          </cell>
          <cell r="Z271">
            <v>489.11096106964931</v>
          </cell>
        </row>
        <row r="272">
          <cell r="X272" t="str">
            <v>Annual Impact on Alberto Revenue</v>
          </cell>
          <cell r="Y272">
            <v>2.9026873246931206E-2</v>
          </cell>
          <cell r="Z272">
            <v>3.1724481666308257E-2</v>
          </cell>
        </row>
        <row r="274">
          <cell r="X274" t="str">
            <v xml:space="preserve">FINAL SUMMARY FOR INITIATION </v>
          </cell>
        </row>
        <row r="275">
          <cell r="Y275" t="str">
            <v>1-5 Year</v>
          </cell>
          <cell r="Z275" t="str">
            <v>1-10 Year</v>
          </cell>
        </row>
        <row r="276">
          <cell r="X276" t="str">
            <v>(a) ACV International Sales - FY09</v>
          </cell>
          <cell r="Y276">
            <v>516.98400000000004</v>
          </cell>
          <cell r="Z276">
            <v>516.98400000000004</v>
          </cell>
        </row>
        <row r="277">
          <cell r="X277" t="str">
            <v>(b) Estimated Haircare Mix</v>
          </cell>
          <cell r="Y277">
            <v>0.82499999999999996</v>
          </cell>
          <cell r="Z277">
            <v>0.82499999999999996</v>
          </cell>
        </row>
        <row r="278">
          <cell r="X278" t="str">
            <v>(c) ACV Haircare Sales - FY09 ( a x b)</v>
          </cell>
          <cell r="Y278">
            <v>426.51179999999999</v>
          </cell>
          <cell r="Z278">
            <v>426.51179999999999</v>
          </cell>
        </row>
        <row r="279">
          <cell r="X279" t="str">
            <v>(d) Adjusting for Market Sizes1,2</v>
          </cell>
          <cell r="Y279">
            <v>1.7001394378694816</v>
          </cell>
          <cell r="Z279">
            <v>3.2407550387775563</v>
          </cell>
        </row>
        <row r="280">
          <cell r="X280" t="str">
            <v xml:space="preserve">(e) Adjusting for Lower Market Share </v>
          </cell>
          <cell r="Y280">
            <v>0.25</v>
          </cell>
          <cell r="Z280">
            <v>0.25</v>
          </cell>
        </row>
        <row r="281">
          <cell r="X281" t="str">
            <v>(f) MS Estimated Market CAGR</v>
          </cell>
          <cell r="Y281">
            <v>0.04</v>
          </cell>
          <cell r="Z281">
            <v>3.5354351393230621E-2</v>
          </cell>
          <cell r="AD281">
            <v>345.55506623702132</v>
          </cell>
          <cell r="AE281">
            <v>489.11096106964931</v>
          </cell>
          <cell r="AG281">
            <v>3.5354351393230621E-2</v>
          </cell>
        </row>
        <row r="282">
          <cell r="X282" t="str">
            <v xml:space="preserve">(g) Market Opportunity ($) ( c x d x e) x (1 + f )x </v>
          </cell>
          <cell r="Y282">
            <v>220.55773739951866</v>
          </cell>
          <cell r="Z282">
            <v>489.11096106964931</v>
          </cell>
        </row>
        <row r="283">
          <cell r="X283" t="str">
            <v>Annual Impact on Alberto Revenue</v>
          </cell>
          <cell r="Y283">
            <v>2.9026873246931206E-2</v>
          </cell>
          <cell r="Z283">
            <v>3.1724481666308257E-2</v>
          </cell>
        </row>
        <row r="285">
          <cell r="X285" t="str">
            <v>FINAL FINAL SUMMARY FOR INITIATION</v>
          </cell>
        </row>
        <row r="286">
          <cell r="X286" t="str">
            <v>$ in millions</v>
          </cell>
          <cell r="Y286" t="str">
            <v>Years 1-5</v>
          </cell>
          <cell r="Z286" t="str">
            <v>Years 1-10</v>
          </cell>
        </row>
        <row r="287">
          <cell r="X287" t="str">
            <v>(a) ACV International Sales - FY09</v>
          </cell>
          <cell r="Y287">
            <v>516.98400000000004</v>
          </cell>
          <cell r="Z287">
            <v>516.98400000000004</v>
          </cell>
        </row>
        <row r="288">
          <cell r="X288" t="str">
            <v>(b) Estimated Haircare Mix</v>
          </cell>
          <cell r="Y288">
            <v>0.82499999999999996</v>
          </cell>
          <cell r="Z288">
            <v>0.82499999999999996</v>
          </cell>
        </row>
        <row r="289">
          <cell r="X289" t="str">
            <v>(c) ACV Haircare Sales - FY09  (a x b)</v>
          </cell>
          <cell r="Y289">
            <v>426.51179999999999</v>
          </cell>
          <cell r="Z289">
            <v>426.51179999999999</v>
          </cell>
        </row>
        <row r="290">
          <cell r="X290" t="str">
            <v>(d) Adjusting for Market Sizes1,2</v>
          </cell>
          <cell r="Y290">
            <v>1.8074383099867963</v>
          </cell>
          <cell r="Z290">
            <v>4.2394890801164928</v>
          </cell>
        </row>
        <row r="291">
          <cell r="X291" t="str">
            <v>(e) Estimated Total Market Size  (c x d)</v>
          </cell>
          <cell r="Y291">
            <v>770.89376698142644</v>
          </cell>
          <cell r="Z291">
            <v>1808.1921186408294</v>
          </cell>
        </row>
        <row r="292">
          <cell r="X292" t="str">
            <v xml:space="preserve">(f) Adjusting for Lower Market Share </v>
          </cell>
          <cell r="Y292">
            <v>0.25</v>
          </cell>
          <cell r="Z292">
            <v>0.25</v>
          </cell>
        </row>
        <row r="293">
          <cell r="X293" t="str">
            <v>(g) Market Opportunity ($)  (e x f)</v>
          </cell>
          <cell r="Y293">
            <v>192.72344174535661</v>
          </cell>
          <cell r="Z293">
            <v>452.04802966020736</v>
          </cell>
        </row>
        <row r="294">
          <cell r="X294" t="str">
            <v>Annual Impact on Alberto Revenue</v>
          </cell>
          <cell r="Y294">
            <v>2.5541072270056642E-2</v>
          </cell>
          <cell r="Z294">
            <v>2.778081066226723E-2</v>
          </cell>
        </row>
      </sheetData>
      <sheetData sheetId="24">
        <row r="1">
          <cell r="P1" t="str">
            <v>SmartCharts</v>
          </cell>
          <cell r="BA1" t="str">
            <v>.</v>
          </cell>
        </row>
        <row r="2">
          <cell r="BA2" t="str">
            <v>.</v>
          </cell>
        </row>
        <row r="3">
          <cell r="BA3" t="str">
            <v>.</v>
          </cell>
        </row>
        <row r="4">
          <cell r="BA4" t="str">
            <v>.</v>
          </cell>
        </row>
        <row r="5">
          <cell r="C5" t="str">
            <v>Define value axis here:</v>
          </cell>
        </row>
        <row r="6">
          <cell r="C6" t="str">
            <v>US Hair Care Tracked Channel YoY Sales Growth</v>
          </cell>
        </row>
        <row r="9">
          <cell r="G9" t="str">
            <v xml:space="preserve">More than four series will make this </v>
          </cell>
        </row>
        <row r="10">
          <cell r="C10" t="str">
            <v>Input your data here:</v>
          </cell>
          <cell r="G10" t="str">
            <v>chart cluttered and too difficult to read.</v>
          </cell>
          <cell r="BA10" t="str">
            <v>.</v>
          </cell>
        </row>
        <row r="11">
          <cell r="D11" t="str">
            <v>Hair Care Category</v>
          </cell>
          <cell r="E11" t="str">
            <v>Total ACV Hair Care</v>
          </cell>
          <cell r="F11" t="str">
            <v>Nexxus</v>
          </cell>
          <cell r="G11" t="str">
            <v>Tresemme</v>
          </cell>
          <cell r="BA11" t="str">
            <v>.</v>
          </cell>
        </row>
        <row r="12">
          <cell r="C12">
            <v>2004</v>
          </cell>
          <cell r="D12">
            <v>-9.9209629887374584E-3</v>
          </cell>
          <cell r="E12">
            <v>1.7123449451074579E-2</v>
          </cell>
          <cell r="F12">
            <v>4.2239412896138973E-4</v>
          </cell>
          <cell r="G12">
            <v>5.2139286963206466E-2</v>
          </cell>
        </row>
        <row r="13">
          <cell r="C13">
            <v>2005</v>
          </cell>
          <cell r="D13">
            <v>5.4103842397520197E-2</v>
          </cell>
          <cell r="E13">
            <v>0.2571018758620438</v>
          </cell>
          <cell r="F13">
            <v>2.9228790625590864</v>
          </cell>
          <cell r="G13">
            <v>0.21997934971239497</v>
          </cell>
        </row>
        <row r="14">
          <cell r="C14">
            <v>2006</v>
          </cell>
          <cell r="D14">
            <v>1.7339518768500595E-2</v>
          </cell>
          <cell r="E14">
            <v>9.9455182581471124E-2</v>
          </cell>
          <cell r="F14">
            <v>0.35</v>
          </cell>
          <cell r="G14">
            <v>0.18902402728607015</v>
          </cell>
          <cell r="BA14" t="str">
            <v>.</v>
          </cell>
        </row>
        <row r="15">
          <cell r="C15">
            <v>2007</v>
          </cell>
          <cell r="D15">
            <v>-1.735766455023402E-2</v>
          </cell>
          <cell r="E15">
            <v>4.281689509045794E-2</v>
          </cell>
          <cell r="F15">
            <v>4.9063380812484514E-2</v>
          </cell>
          <cell r="G15">
            <v>0.11941221471049257</v>
          </cell>
          <cell r="BA15" t="str">
            <v>.</v>
          </cell>
        </row>
        <row r="16">
          <cell r="C16">
            <v>2008</v>
          </cell>
          <cell r="D16">
            <v>-2.4616032085542305E-2</v>
          </cell>
          <cell r="E16">
            <v>2.8864997288409633E-2</v>
          </cell>
          <cell r="F16">
            <v>-3.3919737952764484E-2</v>
          </cell>
          <cell r="G16">
            <v>0.12279710377235453</v>
          </cell>
          <cell r="BA16" t="str">
            <v>.</v>
          </cell>
        </row>
        <row r="17">
          <cell r="C17" t="str">
            <v>CYQ109</v>
          </cell>
          <cell r="D17">
            <v>0</v>
          </cell>
          <cell r="E17">
            <v>0</v>
          </cell>
          <cell r="F17">
            <v>0</v>
          </cell>
          <cell r="G17">
            <v>0</v>
          </cell>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25">
        <row r="1">
          <cell r="N1" t="str">
            <v>SmartCharts</v>
          </cell>
        </row>
      </sheetData>
      <sheetData sheetId="26">
        <row r="1">
          <cell r="N1" t="str">
            <v>SmartCharts</v>
          </cell>
          <cell r="AW1" t="str">
            <v>.</v>
          </cell>
        </row>
        <row r="2">
          <cell r="AW2" t="str">
            <v>.</v>
          </cell>
        </row>
        <row r="3">
          <cell r="AW3" t="str">
            <v>.</v>
          </cell>
        </row>
        <row r="4">
          <cell r="AW4" t="str">
            <v>.</v>
          </cell>
        </row>
        <row r="10">
          <cell r="C10" t="str">
            <v>Input your data here:</v>
          </cell>
          <cell r="AW10" t="str">
            <v>.</v>
          </cell>
        </row>
        <row r="11">
          <cell r="C11" t="str">
            <v>Tresemme</v>
          </cell>
          <cell r="D11">
            <v>0.37212410310856275</v>
          </cell>
          <cell r="AW11" t="str">
            <v>.</v>
          </cell>
        </row>
        <row r="12">
          <cell r="C12" t="str">
            <v>VO5</v>
          </cell>
          <cell r="D12">
            <v>0.15689632031550699</v>
          </cell>
          <cell r="AW12" t="str">
            <v>.</v>
          </cell>
        </row>
        <row r="13">
          <cell r="C13" t="str">
            <v>St. Ives</v>
          </cell>
          <cell r="D13">
            <v>0.11140752469608203</v>
          </cell>
          <cell r="AW13" t="str">
            <v>.</v>
          </cell>
        </row>
        <row r="14">
          <cell r="C14" t="str">
            <v>Nexxus</v>
          </cell>
          <cell r="D14">
            <v>9.7729562432551834E-2</v>
          </cell>
          <cell r="AW14" t="str">
            <v>.</v>
          </cell>
        </row>
        <row r="15">
          <cell r="C15" t="str">
            <v>Noxzema</v>
          </cell>
          <cell r="D15">
            <v>2.7843180180214196E-2</v>
          </cell>
          <cell r="AW15" t="str">
            <v>.</v>
          </cell>
        </row>
        <row r="16">
          <cell r="C16" t="str">
            <v>All Other</v>
          </cell>
          <cell r="D16">
            <v>0.23399930926708218</v>
          </cell>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27">
        <row r="1">
          <cell r="Y1" t="str">
            <v>SmartCharts</v>
          </cell>
        </row>
      </sheetData>
      <sheetData sheetId="28">
        <row r="1">
          <cell r="W1" t="str">
            <v>SmartCharts</v>
          </cell>
        </row>
      </sheetData>
      <sheetData sheetId="29">
        <row r="1">
          <cell r="P1" t="str">
            <v>SmartCharts</v>
          </cell>
        </row>
      </sheetData>
      <sheetData sheetId="30">
        <row r="1">
          <cell r="N1" t="str">
            <v>SmartCharts</v>
          </cell>
          <cell r="AW1" t="str">
            <v>.</v>
          </cell>
        </row>
        <row r="2">
          <cell r="AW2" t="str">
            <v>.</v>
          </cell>
        </row>
        <row r="3">
          <cell r="AW3" t="str">
            <v>.</v>
          </cell>
        </row>
        <row r="4">
          <cell r="AW4" t="str">
            <v>.</v>
          </cell>
        </row>
        <row r="5">
          <cell r="C5" t="str">
            <v>Define value axis here:</v>
          </cell>
        </row>
        <row r="6">
          <cell r="C6" t="str">
            <v>Global Cosmetics and Toiletries Sales ($ Billions)</v>
          </cell>
        </row>
        <row r="10">
          <cell r="C10" t="str">
            <v>Input your data here:</v>
          </cell>
          <cell r="AW10" t="str">
            <v>.</v>
          </cell>
        </row>
        <row r="11">
          <cell r="C11" t="str">
            <v>Skin Care</v>
          </cell>
          <cell r="D11">
            <v>75.751100000000008</v>
          </cell>
          <cell r="AW11" t="str">
            <v>.</v>
          </cell>
        </row>
        <row r="12">
          <cell r="C12" t="str">
            <v>Hair Care</v>
          </cell>
          <cell r="D12">
            <v>63.695300000000003</v>
          </cell>
          <cell r="AW12" t="str">
            <v>.</v>
          </cell>
        </row>
        <row r="13">
          <cell r="C13" t="str">
            <v>Color Cosmetics</v>
          </cell>
          <cell r="D13">
            <v>43.544800000000002</v>
          </cell>
          <cell r="AW13" t="str">
            <v>.</v>
          </cell>
        </row>
        <row r="14">
          <cell r="C14" t="str">
            <v>Fragrances</v>
          </cell>
          <cell r="D14">
            <v>38.8703</v>
          </cell>
          <cell r="AW14" t="str">
            <v>.</v>
          </cell>
        </row>
        <row r="15">
          <cell r="C15" t="str">
            <v>Oral Hygiene</v>
          </cell>
          <cell r="D15">
            <v>33.721400000000003</v>
          </cell>
          <cell r="AW15" t="str">
            <v>.</v>
          </cell>
        </row>
        <row r="16">
          <cell r="C16" t="str">
            <v>Bath and Shower</v>
          </cell>
          <cell r="D16">
            <v>28.8536</v>
          </cell>
          <cell r="AW16" t="str">
            <v>.</v>
          </cell>
        </row>
        <row r="17">
          <cell r="C17" t="str">
            <v>Men's Grooming</v>
          </cell>
          <cell r="D17">
            <v>26.285700000000002</v>
          </cell>
          <cell r="AW17" t="str">
            <v>.</v>
          </cell>
        </row>
        <row r="18">
          <cell r="C18" t="str">
            <v>Other</v>
          </cell>
          <cell r="D18">
            <v>34.469900000000003</v>
          </cell>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31">
        <row r="1">
          <cell r="P1" t="str">
            <v>SmartCharts</v>
          </cell>
          <cell r="BA1" t="str">
            <v>.</v>
          </cell>
        </row>
        <row r="2">
          <cell r="BA2" t="str">
            <v>.</v>
          </cell>
        </row>
        <row r="3">
          <cell r="BA3" t="str">
            <v>.</v>
          </cell>
        </row>
        <row r="4">
          <cell r="BA4" t="str">
            <v>.</v>
          </cell>
        </row>
        <row r="5">
          <cell r="C5" t="str">
            <v>Define value axis here:</v>
          </cell>
        </row>
        <row r="6">
          <cell r="C6" t="str">
            <v>US Scanner Data Net Sales Growth</v>
          </cell>
        </row>
        <row r="10">
          <cell r="C10" t="str">
            <v>Input your data here:</v>
          </cell>
          <cell r="BA10" t="str">
            <v>.</v>
          </cell>
        </row>
        <row r="11">
          <cell r="D11" t="str">
            <v>ACV Hair Care</v>
          </cell>
          <cell r="E11" t="str">
            <v>Hair Care Category</v>
          </cell>
          <cell r="BA11" t="str">
            <v>.</v>
          </cell>
        </row>
        <row r="12">
          <cell r="C12">
            <v>2005</v>
          </cell>
          <cell r="D12">
            <v>0.2571018758620438</v>
          </cell>
          <cell r="E12">
            <v>5.4103842397520197E-2</v>
          </cell>
        </row>
        <row r="13">
          <cell r="C13">
            <v>2006</v>
          </cell>
          <cell r="D13">
            <v>9.9455182581471124E-2</v>
          </cell>
          <cell r="E13">
            <v>1.7339518768500595E-2</v>
          </cell>
        </row>
        <row r="14">
          <cell r="C14">
            <v>2007</v>
          </cell>
          <cell r="D14">
            <v>4.281689509045794E-2</v>
          </cell>
          <cell r="E14">
            <v>-1.735766455023402E-2</v>
          </cell>
          <cell r="BA14" t="str">
            <v>.</v>
          </cell>
        </row>
        <row r="15">
          <cell r="C15">
            <v>2008</v>
          </cell>
          <cell r="D15">
            <v>2.8864997288409633E-2</v>
          </cell>
          <cell r="E15">
            <v>-2.4616032085542305E-2</v>
          </cell>
          <cell r="BA15" t="str">
            <v>.</v>
          </cell>
        </row>
        <row r="16">
          <cell r="C16" t="str">
            <v>Q109</v>
          </cell>
          <cell r="D16">
            <v>1.4434504574261098E-2</v>
          </cell>
          <cell r="E16">
            <v>-3.9959437121864783E-3</v>
          </cell>
          <cell r="BA16" t="str">
            <v>.</v>
          </cell>
        </row>
        <row r="17">
          <cell r="C17" t="str">
            <v>Q209</v>
          </cell>
          <cell r="D17">
            <v>-1</v>
          </cell>
          <cell r="E17">
            <v>-1</v>
          </cell>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32">
        <row r="1">
          <cell r="N1" t="str">
            <v>SmartCharts</v>
          </cell>
          <cell r="AW1" t="str">
            <v>.</v>
          </cell>
        </row>
        <row r="2">
          <cell r="AW2" t="str">
            <v>.</v>
          </cell>
        </row>
        <row r="3">
          <cell r="AW3" t="str">
            <v>.</v>
          </cell>
        </row>
        <row r="4">
          <cell r="AW4" t="str">
            <v>.</v>
          </cell>
        </row>
        <row r="5">
          <cell r="C5" t="str">
            <v>Define value axis here:</v>
          </cell>
        </row>
        <row r="6">
          <cell r="C6" t="str">
            <v>US Hair Care Market Share Changes (bps) - 2008 vs. 2003</v>
          </cell>
        </row>
        <row r="10">
          <cell r="C10" t="str">
            <v>Input your data here:</v>
          </cell>
          <cell r="AW10" t="str">
            <v>.</v>
          </cell>
        </row>
        <row r="11">
          <cell r="C11" t="str">
            <v>Loreal</v>
          </cell>
          <cell r="D11">
            <v>340.04711565428113</v>
          </cell>
        </row>
        <row r="12">
          <cell r="C12" t="str">
            <v>Alberto-Culver</v>
          </cell>
          <cell r="D12">
            <v>285.38769329956654</v>
          </cell>
          <cell r="AW12" t="str">
            <v>.</v>
          </cell>
        </row>
        <row r="13">
          <cell r="C13" t="str">
            <v>Private Label</v>
          </cell>
          <cell r="D13">
            <v>49.311048799940501</v>
          </cell>
          <cell r="AW13" t="str">
            <v>.</v>
          </cell>
        </row>
        <row r="14">
          <cell r="C14" t="str">
            <v>Other</v>
          </cell>
          <cell r="D14">
            <v>-42.47471700138172</v>
          </cell>
          <cell r="AW14" t="str">
            <v>.</v>
          </cell>
        </row>
        <row r="15">
          <cell r="C15" t="str">
            <v>Unilver</v>
          </cell>
          <cell r="D15">
            <v>-284.78770875712473</v>
          </cell>
          <cell r="AW15" t="str">
            <v>.</v>
          </cell>
        </row>
        <row r="16">
          <cell r="C16" t="str">
            <v>P&amp;G</v>
          </cell>
          <cell r="D16">
            <v>-347.48343199528296</v>
          </cell>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3">
        <row r="1">
          <cell r="N1" t="str">
            <v>SmartCharts</v>
          </cell>
          <cell r="AW1" t="str">
            <v>.</v>
          </cell>
        </row>
        <row r="2">
          <cell r="AW2" t="str">
            <v>.</v>
          </cell>
        </row>
        <row r="3">
          <cell r="AW3" t="str">
            <v>.</v>
          </cell>
        </row>
        <row r="4">
          <cell r="AW4" t="str">
            <v>.</v>
          </cell>
        </row>
        <row r="5">
          <cell r="C5" t="str">
            <v>Define value axis here:</v>
          </cell>
        </row>
        <row r="6">
          <cell r="C6" t="str">
            <v>US Hair Care Market Share Leaders ($) - 2008</v>
          </cell>
        </row>
        <row r="10">
          <cell r="C10" t="str">
            <v>Input your data here:</v>
          </cell>
          <cell r="AW10" t="str">
            <v>.</v>
          </cell>
        </row>
        <row r="11">
          <cell r="C11" t="str">
            <v>L'Oreal</v>
          </cell>
          <cell r="D11">
            <v>0.25900000000000001</v>
          </cell>
          <cell r="AW11" t="str">
            <v>.</v>
          </cell>
        </row>
        <row r="12">
          <cell r="C12" t="str">
            <v>P&amp;G</v>
          </cell>
          <cell r="D12">
            <v>0.25</v>
          </cell>
          <cell r="AW12" t="str">
            <v>.</v>
          </cell>
        </row>
        <row r="13">
          <cell r="C13" t="str">
            <v>Unilever</v>
          </cell>
          <cell r="D13">
            <v>7.5999999999999998E-2</v>
          </cell>
          <cell r="AW13" t="str">
            <v>.</v>
          </cell>
        </row>
        <row r="14">
          <cell r="C14" t="str">
            <v>Alberto Culver</v>
          </cell>
          <cell r="D14">
            <v>6.2E-2</v>
          </cell>
          <cell r="AW14" t="str">
            <v>.</v>
          </cell>
        </row>
        <row r="15">
          <cell r="C15" t="str">
            <v>Paul Mithcell</v>
          </cell>
          <cell r="D15">
            <v>5.7000000000000002E-2</v>
          </cell>
          <cell r="AW15" t="str">
            <v>.</v>
          </cell>
        </row>
        <row r="16">
          <cell r="C16" t="str">
            <v>Estee Lauder</v>
          </cell>
          <cell r="D16">
            <v>3.5000000000000003E-2</v>
          </cell>
          <cell r="AW16" t="str">
            <v>.</v>
          </cell>
        </row>
        <row r="17">
          <cell r="C17" t="str">
            <v>Kao</v>
          </cell>
          <cell r="D17">
            <v>1.6E-2</v>
          </cell>
          <cell r="AW17" t="str">
            <v>.</v>
          </cell>
        </row>
        <row r="18">
          <cell r="C18" t="str">
            <v>Combe Inc</v>
          </cell>
          <cell r="D18">
            <v>1.4999999999999999E-2</v>
          </cell>
          <cell r="AW18" t="str">
            <v>.</v>
          </cell>
        </row>
        <row r="19">
          <cell r="C19" t="str">
            <v>Revlon</v>
          </cell>
          <cell r="D19">
            <v>1.3999999999999999E-2</v>
          </cell>
          <cell r="AW19" t="str">
            <v>.</v>
          </cell>
        </row>
        <row r="20">
          <cell r="C20" t="str">
            <v xml:space="preserve">Colomer </v>
          </cell>
          <cell r="D20">
            <v>1.3999999999999999E-2</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34">
        <row r="1">
          <cell r="P1" t="str">
            <v>SmartCharts</v>
          </cell>
        </row>
      </sheetData>
      <sheetData sheetId="35">
        <row r="1">
          <cell r="O1" t="str">
            <v>SmartCharts</v>
          </cell>
        </row>
        <row r="6">
          <cell r="C6" t="str">
            <v>Input value axis title here:</v>
          </cell>
        </row>
        <row r="7">
          <cell r="C7" t="str">
            <v xml:space="preserve">$ amounts in millions </v>
          </cell>
        </row>
        <row r="10">
          <cell r="C10" t="str">
            <v>Input your data here:</v>
          </cell>
          <cell r="BA10" t="str">
            <v>.</v>
          </cell>
        </row>
        <row r="11">
          <cell r="D11" t="str">
            <v>Revenue</v>
          </cell>
          <cell r="E11" t="str">
            <v>EBITDA</v>
          </cell>
          <cell r="AA11" t="str">
            <v>Cells below are used for chart calculations; please do not make any changes</v>
          </cell>
        </row>
        <row r="12">
          <cell r="C12" t="str">
            <v>0.5x</v>
          </cell>
          <cell r="D12" t="e">
            <v>#REF!</v>
          </cell>
          <cell r="E12">
            <v>-2</v>
          </cell>
          <cell r="AA12" t="e">
            <v>#REF!</v>
          </cell>
          <cell r="AB12" t="e">
            <v>#REF!</v>
          </cell>
        </row>
        <row r="13">
          <cell r="C13" t="str">
            <v>1.0x</v>
          </cell>
          <cell r="D13" t="e">
            <v>#REF!</v>
          </cell>
          <cell r="E13">
            <v>-1</v>
          </cell>
          <cell r="AA13" t="e">
            <v>#REF!</v>
          </cell>
          <cell r="AB13" t="e">
            <v>#REF!</v>
          </cell>
        </row>
        <row r="14">
          <cell r="C14" t="str">
            <v>1.5x</v>
          </cell>
          <cell r="D14" t="e">
            <v>#REF!</v>
          </cell>
          <cell r="E14">
            <v>0</v>
          </cell>
          <cell r="AA14" t="e">
            <v>#REF!</v>
          </cell>
          <cell r="AB14" t="e">
            <v>#REF!</v>
          </cell>
        </row>
        <row r="15">
          <cell r="C15" t="str">
            <v>2.0x</v>
          </cell>
          <cell r="D15" t="e">
            <v>#REF!</v>
          </cell>
          <cell r="E15">
            <v>1</v>
          </cell>
          <cell r="AA15" t="e">
            <v>#REF!</v>
          </cell>
          <cell r="AB15" t="e">
            <v>#REF!</v>
          </cell>
        </row>
        <row r="16">
          <cell r="C16" t="str">
            <v>2.5x</v>
          </cell>
          <cell r="D16" t="e">
            <v>#REF!</v>
          </cell>
          <cell r="E16">
            <v>1</v>
          </cell>
          <cell r="AA16" t="e">
            <v>#REF!</v>
          </cell>
          <cell r="AB16" t="e">
            <v>#REF!</v>
          </cell>
        </row>
        <row r="17">
          <cell r="AA17" t="e">
            <v>#REF!</v>
          </cell>
          <cell r="AB17" t="e">
            <v>#REF!</v>
          </cell>
        </row>
        <row r="18">
          <cell r="AA18" t="e">
            <v>#REF!</v>
          </cell>
          <cell r="AB18" t="e">
            <v>#REF!</v>
          </cell>
        </row>
        <row r="19">
          <cell r="AA19" t="e">
            <v>#REF!</v>
          </cell>
          <cell r="AB19" t="e">
            <v>#REF!</v>
          </cell>
        </row>
        <row r="20">
          <cell r="AA20" t="e">
            <v>#REF!</v>
          </cell>
          <cell r="AB20" t="e">
            <v>#REF!</v>
          </cell>
        </row>
        <row r="21">
          <cell r="C21" t="str">
            <v xml:space="preserve">NOTE: MANUAL ADJ. FOR </v>
          </cell>
          <cell r="AA21" t="e">
            <v>#REF!</v>
          </cell>
          <cell r="AB21" t="e">
            <v>#REF!</v>
          </cell>
        </row>
        <row r="22">
          <cell r="C22" t="str">
            <v>ROUDNING PURPOSES</v>
          </cell>
          <cell r="AA22" t="e">
            <v>#REF!</v>
          </cell>
          <cell r="AB22" t="e">
            <v>#REF!</v>
          </cell>
        </row>
        <row r="23">
          <cell r="AA23" t="e">
            <v>#REF!</v>
          </cell>
          <cell r="AB23" t="e">
            <v>#REF!</v>
          </cell>
        </row>
        <row r="24">
          <cell r="AA24" t="e">
            <v>#REF!</v>
          </cell>
          <cell r="AB24" t="e">
            <v>#REF!</v>
          </cell>
        </row>
        <row r="25">
          <cell r="AA25" t="e">
            <v>#REF!</v>
          </cell>
          <cell r="AB25" t="e">
            <v>#REF!</v>
          </cell>
        </row>
        <row r="26">
          <cell r="AA26" t="e">
            <v>#REF!</v>
          </cell>
          <cell r="AB26" t="e">
            <v>#REF!</v>
          </cell>
        </row>
        <row r="27">
          <cell r="AA27" t="e">
            <v>#REF!</v>
          </cell>
          <cell r="AB27" t="e">
            <v>#REF!</v>
          </cell>
        </row>
        <row r="28">
          <cell r="AA28" t="e">
            <v>#REF!</v>
          </cell>
          <cell r="AB28" t="e">
            <v>#REF!</v>
          </cell>
        </row>
        <row r="29">
          <cell r="AA29" t="e">
            <v>#REF!</v>
          </cell>
          <cell r="AB29" t="e">
            <v>#REF!</v>
          </cell>
        </row>
        <row r="30">
          <cell r="AA30" t="e">
            <v>#REF!</v>
          </cell>
          <cell r="AB30" t="e">
            <v>#REF!</v>
          </cell>
        </row>
        <row r="31">
          <cell r="AA31" t="e">
            <v>#REF!</v>
          </cell>
          <cell r="AB31" t="e">
            <v>#REF!</v>
          </cell>
        </row>
        <row r="998">
          <cell r="Q998" t="str">
            <v>.</v>
          </cell>
          <cell r="R998" t="str">
            <v>.</v>
          </cell>
          <cell r="S998" t="str">
            <v>.</v>
          </cell>
          <cell r="T998" t="str">
            <v>.</v>
          </cell>
          <cell r="U998" t="str">
            <v>.</v>
          </cell>
        </row>
      </sheetData>
      <sheetData sheetId="36">
        <row r="1">
          <cell r="N1" t="str">
            <v>SmartCharts</v>
          </cell>
        </row>
      </sheetData>
      <sheetData sheetId="37">
        <row r="1">
          <cell r="N1" t="str">
            <v>SmartCharts</v>
          </cell>
        </row>
      </sheetData>
      <sheetData sheetId="38">
        <row r="1">
          <cell r="N1" t="str">
            <v>SmartCharts</v>
          </cell>
          <cell r="AW1" t="str">
            <v>.</v>
          </cell>
        </row>
        <row r="2">
          <cell r="AW2" t="str">
            <v>.</v>
          </cell>
        </row>
        <row r="3">
          <cell r="AW3" t="str">
            <v>.</v>
          </cell>
        </row>
        <row r="4">
          <cell r="AW4" t="str">
            <v>.</v>
          </cell>
        </row>
        <row r="5">
          <cell r="C5" t="str">
            <v>Define value axis here:</v>
          </cell>
        </row>
        <row r="6">
          <cell r="C6" t="str">
            <v>FX Impact on ACV's Net Sales Growth</v>
          </cell>
        </row>
        <row r="10">
          <cell r="C10" t="str">
            <v>Input your data here:</v>
          </cell>
          <cell r="AW10" t="str">
            <v>.</v>
          </cell>
        </row>
        <row r="11">
          <cell r="C11" t="str">
            <v>FY07</v>
          </cell>
          <cell r="D11">
            <v>1.9E-2</v>
          </cell>
        </row>
        <row r="12">
          <cell r="C12" t="str">
            <v>Q108</v>
          </cell>
          <cell r="D12">
            <v>3.7970674418806284E-2</v>
          </cell>
          <cell r="AW12" t="str">
            <v>.</v>
          </cell>
        </row>
        <row r="13">
          <cell r="C13" t="str">
            <v>Q208</v>
          </cell>
          <cell r="D13">
            <v>2.8646144276544324E-2</v>
          </cell>
          <cell r="AW13" t="str">
            <v>.</v>
          </cell>
        </row>
        <row r="14">
          <cell r="C14" t="str">
            <v>Q308</v>
          </cell>
          <cell r="D14">
            <v>2.0534361865810213E-2</v>
          </cell>
          <cell r="AW14" t="str">
            <v>.</v>
          </cell>
        </row>
        <row r="15">
          <cell r="C15" t="str">
            <v>Q408</v>
          </cell>
          <cell r="D15">
            <v>-4.1893699946859535E-3</v>
          </cell>
          <cell r="AW15" t="str">
            <v>.</v>
          </cell>
        </row>
        <row r="16">
          <cell r="C16" t="str">
            <v>Q109</v>
          </cell>
          <cell r="D16">
            <v>-7.491372830864762E-2</v>
          </cell>
          <cell r="AW16" t="str">
            <v>.</v>
          </cell>
        </row>
        <row r="17">
          <cell r="C17" t="str">
            <v>Q209</v>
          </cell>
          <cell r="D17">
            <v>-8.7317876308390746E-2</v>
          </cell>
          <cell r="AW17" t="str">
            <v>.</v>
          </cell>
        </row>
        <row r="18">
          <cell r="C18" t="str">
            <v>Q309E</v>
          </cell>
          <cell r="D18">
            <v>-7.5745721724769829E-2</v>
          </cell>
          <cell r="AW18" t="str">
            <v>.</v>
          </cell>
        </row>
        <row r="19">
          <cell r="C19" t="str">
            <v>Q409E</v>
          </cell>
          <cell r="D19">
            <v>-4.2742138809039459E-2</v>
          </cell>
          <cell r="AW19" t="str">
            <v>.</v>
          </cell>
        </row>
        <row r="20">
          <cell r="C20" t="str">
            <v>Q110E</v>
          </cell>
          <cell r="D20">
            <v>3.534880079649437E-2</v>
          </cell>
          <cell r="AW20" t="str">
            <v>.</v>
          </cell>
        </row>
        <row r="21">
          <cell r="C21" t="str">
            <v>Q210E</v>
          </cell>
          <cell r="D21">
            <v>5.3538733671692214E-2</v>
          </cell>
          <cell r="AW21" t="str">
            <v>.</v>
          </cell>
        </row>
        <row r="22">
          <cell r="C22" t="str">
            <v>Q310E</v>
          </cell>
          <cell r="D22">
            <v>1.0509107787948927E-2</v>
          </cell>
          <cell r="AW22" t="str">
            <v>.</v>
          </cell>
        </row>
        <row r="23">
          <cell r="C23" t="str">
            <v>Q410E</v>
          </cell>
          <cell r="D23">
            <v>-2.7307489195438979E-3</v>
          </cell>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9">
        <row r="1">
          <cell r="N1" t="str">
            <v>SmartCharts</v>
          </cell>
        </row>
      </sheetData>
      <sheetData sheetId="40">
        <row r="1">
          <cell r="N1" t="str">
            <v>SmartCharts</v>
          </cell>
          <cell r="AW1" t="str">
            <v>.</v>
          </cell>
        </row>
        <row r="2">
          <cell r="AW2" t="str">
            <v>.</v>
          </cell>
        </row>
        <row r="3">
          <cell r="AW3" t="str">
            <v>.</v>
          </cell>
        </row>
        <row r="4">
          <cell r="AW4" t="str">
            <v>.</v>
          </cell>
        </row>
        <row r="5">
          <cell r="C5" t="str">
            <v>Define value axis here:</v>
          </cell>
        </row>
        <row r="6">
          <cell r="C6" t="str">
            <v>Estimated Nexxus Year-over-Year Revenue Growth</v>
          </cell>
        </row>
        <row r="10">
          <cell r="C10" t="str">
            <v>Input your data here:</v>
          </cell>
          <cell r="AW10" t="str">
            <v>.</v>
          </cell>
        </row>
        <row r="11">
          <cell r="C11" t="str">
            <v>FY05</v>
          </cell>
          <cell r="D11">
            <v>40</v>
          </cell>
        </row>
        <row r="12">
          <cell r="C12" t="str">
            <v>FY06</v>
          </cell>
          <cell r="D12">
            <v>65</v>
          </cell>
          <cell r="AW12" t="str">
            <v>.</v>
          </cell>
        </row>
        <row r="13">
          <cell r="C13" t="str">
            <v>FY07</v>
          </cell>
          <cell r="D13">
            <v>113.04347826086958</v>
          </cell>
          <cell r="AW13" t="str">
            <v>.</v>
          </cell>
        </row>
        <row r="14">
          <cell r="C14" t="str">
            <v>FY08</v>
          </cell>
          <cell r="D14">
            <v>130</v>
          </cell>
          <cell r="AW14" t="str">
            <v>.</v>
          </cell>
        </row>
        <row r="15">
          <cell r="C15" t="str">
            <v>FY09</v>
          </cell>
          <cell r="D15">
            <v>140.4</v>
          </cell>
          <cell r="AW15" t="str">
            <v>.</v>
          </cell>
        </row>
        <row r="16">
          <cell r="AW16" t="str">
            <v>.</v>
          </cell>
        </row>
        <row r="17">
          <cell r="D17">
            <v>0.625</v>
          </cell>
          <cell r="AW17" t="str">
            <v>.</v>
          </cell>
        </row>
        <row r="18">
          <cell r="D18">
            <v>0.73913043478260887</v>
          </cell>
          <cell r="AW18" t="str">
            <v>.</v>
          </cell>
        </row>
        <row r="19">
          <cell r="D19">
            <v>0.14999999999999991</v>
          </cell>
          <cell r="AW19" t="str">
            <v>.</v>
          </cell>
        </row>
        <row r="20">
          <cell r="D20">
            <v>8.0000000000000071E-2</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4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EPS Impact ($)                                                                                                    </v>
          </cell>
          <cell r="AD8">
            <v>100</v>
          </cell>
        </row>
        <row r="10">
          <cell r="C10" t="str">
            <v>Input your data here:</v>
          </cell>
          <cell r="BC10" t="str">
            <v>.</v>
          </cell>
        </row>
        <row r="11">
          <cell r="D11" t="str">
            <v>EPS Impact ($)</v>
          </cell>
          <cell r="E11" t="str">
            <v>EPS Accretion (%)</v>
          </cell>
          <cell r="BC11" t="str">
            <v>.</v>
          </cell>
        </row>
        <row r="12">
          <cell r="C12">
            <v>100</v>
          </cell>
          <cell r="D12">
            <v>0.03</v>
          </cell>
          <cell r="E12">
            <v>1.7999999999999999E-2</v>
          </cell>
        </row>
        <row r="13">
          <cell r="C13">
            <v>200</v>
          </cell>
          <cell r="D13">
            <v>0.06</v>
          </cell>
          <cell r="E13">
            <v>3.5999999999999997E-2</v>
          </cell>
        </row>
        <row r="14">
          <cell r="C14">
            <v>300</v>
          </cell>
          <cell r="D14">
            <v>0.08</v>
          </cell>
          <cell r="E14">
            <v>5.6000000000000001E-2</v>
          </cell>
          <cell r="BC14" t="str">
            <v>.</v>
          </cell>
        </row>
        <row r="15">
          <cell r="C15">
            <v>400</v>
          </cell>
          <cell r="D15">
            <v>0.12</v>
          </cell>
          <cell r="E15">
            <v>7.5999999999999998E-2</v>
          </cell>
          <cell r="BC15" t="str">
            <v>.</v>
          </cell>
        </row>
        <row r="16">
          <cell r="C16">
            <v>500</v>
          </cell>
          <cell r="D16">
            <v>0.15</v>
          </cell>
          <cell r="E16">
            <v>9.7000000000000003E-2</v>
          </cell>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2">
        <row r="1">
          <cell r="P1" t="str">
            <v>SmartCharts</v>
          </cell>
          <cell r="BA1" t="str">
            <v>.</v>
          </cell>
        </row>
        <row r="2">
          <cell r="BA2" t="str">
            <v>.</v>
          </cell>
        </row>
        <row r="3">
          <cell r="BA3" t="str">
            <v>.</v>
          </cell>
        </row>
        <row r="4">
          <cell r="BA4" t="str">
            <v>.</v>
          </cell>
        </row>
        <row r="5">
          <cell r="C5" t="str">
            <v>Define value axis here:</v>
          </cell>
        </row>
        <row r="6">
          <cell r="C6" t="str">
            <v>New Product Contribution to ACV Tracked Channel Growth</v>
          </cell>
        </row>
        <row r="9">
          <cell r="G9" t="str">
            <v xml:space="preserve">More than four series will make this </v>
          </cell>
        </row>
        <row r="10">
          <cell r="C10" t="str">
            <v>Input your data here:</v>
          </cell>
          <cell r="G10" t="str">
            <v>chart cluttered and too difficult to read.</v>
          </cell>
          <cell r="BA10" t="str">
            <v>.</v>
          </cell>
        </row>
        <row r="11">
          <cell r="D11" t="str">
            <v>ACV Topline Growth</v>
          </cell>
          <cell r="E11" t="str">
            <v>New Product Contribution</v>
          </cell>
          <cell r="F11" t="str">
            <v>ACV Growth (ex-New Products)</v>
          </cell>
          <cell r="BA11" t="str">
            <v>.</v>
          </cell>
        </row>
        <row r="12">
          <cell r="C12" t="e">
            <v>#REF!</v>
          </cell>
          <cell r="D12">
            <v>-1.9867356695481897E-2</v>
          </cell>
          <cell r="E12" t="e">
            <v>#REF!</v>
          </cell>
          <cell r="F12" t="e">
            <v>#REF!</v>
          </cell>
        </row>
        <row r="13">
          <cell r="C13" t="e">
            <v>#REF!</v>
          </cell>
          <cell r="D13">
            <v>5.6524006983949882E-2</v>
          </cell>
          <cell r="E13" t="e">
            <v>#REF!</v>
          </cell>
          <cell r="F13" t="e">
            <v>#REF!</v>
          </cell>
        </row>
        <row r="14">
          <cell r="C14" t="e">
            <v>#REF!</v>
          </cell>
          <cell r="D14">
            <v>-2.7620443626049762E-2</v>
          </cell>
          <cell r="E14" t="e">
            <v>#REF!</v>
          </cell>
          <cell r="F14" t="e">
            <v>#REF!</v>
          </cell>
          <cell r="BA14" t="str">
            <v>.</v>
          </cell>
        </row>
        <row r="15">
          <cell r="C15" t="e">
            <v>#REF!</v>
          </cell>
          <cell r="D15">
            <v>1.9375430785728343E-2</v>
          </cell>
          <cell r="E15" t="e">
            <v>#REF!</v>
          </cell>
          <cell r="F15" t="e">
            <v>#REF!</v>
          </cell>
          <cell r="BA15" t="str">
            <v>.</v>
          </cell>
        </row>
        <row r="16">
          <cell r="C16" t="e">
            <v>#REF!</v>
          </cell>
          <cell r="D16">
            <v>-1.3576089705147343E-4</v>
          </cell>
          <cell r="E16" t="e">
            <v>#REF!</v>
          </cell>
          <cell r="F16" t="e">
            <v>#REF!</v>
          </cell>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43">
        <row r="1">
          <cell r="R1" t="str">
            <v>SmartCharts</v>
          </cell>
          <cell r="BA1" t="str">
            <v>.</v>
          </cell>
        </row>
        <row r="2">
          <cell r="BA2" t="str">
            <v>.</v>
          </cell>
        </row>
        <row r="3">
          <cell r="BA3" t="str">
            <v>.</v>
          </cell>
        </row>
        <row r="4">
          <cell r="BA4" t="str">
            <v>.</v>
          </cell>
        </row>
        <row r="5">
          <cell r="C5" t="str">
            <v>Define value axis here:</v>
          </cell>
        </row>
        <row r="6">
          <cell r="C6" t="str">
            <v>New Product Contribution to Alberto Scanner Data Growth</v>
          </cell>
        </row>
        <row r="10">
          <cell r="C10" t="str">
            <v>Input your data here:</v>
          </cell>
          <cell r="BA10" t="str">
            <v>.</v>
          </cell>
        </row>
        <row r="11">
          <cell r="D11" t="str">
            <v>New Product Contribution</v>
          </cell>
          <cell r="E11" t="str">
            <v>ACV Growth (ex-New Products)</v>
          </cell>
          <cell r="BA11" t="str">
            <v>.</v>
          </cell>
        </row>
        <row r="12">
          <cell r="C12" t="e">
            <v>#REF!</v>
          </cell>
          <cell r="D12" t="e">
            <v>#REF!</v>
          </cell>
          <cell r="E12" t="e">
            <v>#REF!</v>
          </cell>
          <cell r="BA12" t="str">
            <v>.</v>
          </cell>
        </row>
        <row r="13">
          <cell r="C13" t="e">
            <v>#REF!</v>
          </cell>
          <cell r="D13" t="e">
            <v>#REF!</v>
          </cell>
          <cell r="E13" t="e">
            <v>#REF!</v>
          </cell>
          <cell r="BA13" t="str">
            <v>.</v>
          </cell>
        </row>
        <row r="14">
          <cell r="C14" t="e">
            <v>#REF!</v>
          </cell>
          <cell r="D14" t="e">
            <v>#REF!</v>
          </cell>
          <cell r="E14" t="e">
            <v>#REF!</v>
          </cell>
          <cell r="BA14" t="str">
            <v>.</v>
          </cell>
        </row>
        <row r="15">
          <cell r="C15" t="e">
            <v>#REF!</v>
          </cell>
          <cell r="D15" t="e">
            <v>#REF!</v>
          </cell>
          <cell r="E15" t="e">
            <v>#REF!</v>
          </cell>
          <cell r="BA15" t="str">
            <v>.</v>
          </cell>
        </row>
        <row r="16">
          <cell r="C16" t="e">
            <v>#REF!</v>
          </cell>
          <cell r="D16" t="e">
            <v>#REF!</v>
          </cell>
          <cell r="E16" t="e">
            <v>#REF!</v>
          </cell>
          <cell r="BA16" t="str">
            <v>.</v>
          </cell>
        </row>
        <row r="17">
          <cell r="C17" t="e">
            <v>#REF!</v>
          </cell>
          <cell r="D17" t="e">
            <v>#REF!</v>
          </cell>
          <cell r="E17" t="e">
            <v>#REF!</v>
          </cell>
          <cell r="BA17" t="str">
            <v>.</v>
          </cell>
        </row>
        <row r="18">
          <cell r="C18" t="e">
            <v>#REF!</v>
          </cell>
          <cell r="D18" t="e">
            <v>#REF!</v>
          </cell>
          <cell r="E18" t="e">
            <v>#REF!</v>
          </cell>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44">
        <row r="1">
          <cell r="P1" t="str">
            <v>SmartCharts</v>
          </cell>
          <cell r="BA1" t="str">
            <v>.</v>
          </cell>
        </row>
        <row r="2">
          <cell r="BA2" t="str">
            <v>.</v>
          </cell>
        </row>
        <row r="3">
          <cell r="BA3" t="str">
            <v>.</v>
          </cell>
        </row>
        <row r="4">
          <cell r="BA4" t="str">
            <v>.</v>
          </cell>
        </row>
        <row r="5">
          <cell r="C5" t="str">
            <v>Define value axis here:</v>
          </cell>
        </row>
        <row r="6">
          <cell r="C6" t="str">
            <v>Forecast TRESemmé International Revenue Mix</v>
          </cell>
        </row>
        <row r="9">
          <cell r="G9" t="str">
            <v xml:space="preserve">More than four series will make this </v>
          </cell>
        </row>
        <row r="10">
          <cell r="C10" t="str">
            <v>Input your data here:</v>
          </cell>
          <cell r="G10" t="str">
            <v>chart cluttered and too difficult to read.</v>
          </cell>
          <cell r="BA10" t="str">
            <v>.</v>
          </cell>
        </row>
        <row r="11">
          <cell r="D11" t="str">
            <v>Tresemme International Mix</v>
          </cell>
          <cell r="BA11" t="str">
            <v>.</v>
          </cell>
        </row>
        <row r="12">
          <cell r="C12">
            <v>2003</v>
          </cell>
          <cell r="D12">
            <v>0</v>
          </cell>
        </row>
        <row r="13">
          <cell r="C13" t="str">
            <v>2009E</v>
          </cell>
          <cell r="D13">
            <v>0.4</v>
          </cell>
        </row>
        <row r="14">
          <cell r="C14" t="str">
            <v>2014E</v>
          </cell>
          <cell r="D14">
            <v>0.55000000000000004</v>
          </cell>
          <cell r="BA14" t="str">
            <v>.</v>
          </cell>
        </row>
        <row r="15">
          <cell r="C15" t="str">
            <v>Alberto VO5 2009E</v>
          </cell>
          <cell r="D15">
            <v>0.6</v>
          </cell>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45">
        <row r="1">
          <cell r="P1" t="str">
            <v>SmartCharts</v>
          </cell>
          <cell r="BA1" t="str">
            <v>.</v>
          </cell>
        </row>
        <row r="2">
          <cell r="BA2" t="str">
            <v>.</v>
          </cell>
        </row>
        <row r="3">
          <cell r="BA3" t="str">
            <v>.</v>
          </cell>
        </row>
        <row r="4">
          <cell r="BA4" t="str">
            <v>.</v>
          </cell>
        </row>
        <row r="5">
          <cell r="C5" t="str">
            <v>Define value axis here:</v>
          </cell>
        </row>
        <row r="6">
          <cell r="C6" t="str">
            <v>New Product Contribution to Total ACV Topline Growth</v>
          </cell>
        </row>
        <row r="9">
          <cell r="G9" t="str">
            <v xml:space="preserve">More than four series will make this </v>
          </cell>
        </row>
        <row r="10">
          <cell r="C10" t="str">
            <v>Input your data here:</v>
          </cell>
          <cell r="G10" t="str">
            <v>chart cluttered and too difficult to read.</v>
          </cell>
          <cell r="BA10" t="str">
            <v>.</v>
          </cell>
        </row>
        <row r="11">
          <cell r="BA11" t="str">
            <v>.</v>
          </cell>
        </row>
        <row r="12">
          <cell r="C12" t="str">
            <v>Q309E</v>
          </cell>
          <cell r="D12" t="e">
            <v>#REF!</v>
          </cell>
        </row>
        <row r="13">
          <cell r="C13" t="str">
            <v>Q409E</v>
          </cell>
          <cell r="D13" t="e">
            <v>#REF!</v>
          </cell>
        </row>
        <row r="14">
          <cell r="C14" t="str">
            <v>Q110E</v>
          </cell>
          <cell r="D14" t="e">
            <v>#REF!</v>
          </cell>
          <cell r="BA14" t="str">
            <v>.</v>
          </cell>
        </row>
        <row r="15">
          <cell r="BA15" t="str">
            <v>.</v>
          </cell>
        </row>
        <row r="16">
          <cell r="BA16" t="str">
            <v>.</v>
          </cell>
        </row>
        <row r="17">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I37" t="str">
            <v>Do not change the width of the exhibit or font sizes (they are optimized for export to Word).</v>
          </cell>
          <cell r="BA37" t="str">
            <v>.</v>
          </cell>
        </row>
        <row r="38">
          <cell r="BA38" t="str">
            <v>.</v>
          </cell>
        </row>
        <row r="39">
          <cell r="I39" t="str">
            <v>Do not delete any rows or columns (some gray cells are used for calculations).</v>
          </cell>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46">
        <row r="1">
          <cell r="R1" t="str">
            <v>SmartCharts</v>
          </cell>
          <cell r="BA1" t="str">
            <v>.</v>
          </cell>
        </row>
        <row r="2">
          <cell r="BA2" t="str">
            <v>.</v>
          </cell>
        </row>
        <row r="3">
          <cell r="BA3" t="str">
            <v>.</v>
          </cell>
        </row>
        <row r="4">
          <cell r="BA4" t="str">
            <v>.</v>
          </cell>
        </row>
        <row r="5">
          <cell r="C5" t="str">
            <v>Define value axis here:</v>
          </cell>
        </row>
        <row r="6">
          <cell r="C6" t="str">
            <v>New Product Contribution to Organic Topline Growth</v>
          </cell>
        </row>
        <row r="8">
          <cell r="F8">
            <v>2.693775438032895E-2</v>
          </cell>
        </row>
        <row r="9">
          <cell r="F9">
            <v>-2.8961494640541985E-4</v>
          </cell>
        </row>
        <row r="10">
          <cell r="C10" t="str">
            <v>Input your data here:</v>
          </cell>
          <cell r="F10">
            <v>1.154062939256293E-2</v>
          </cell>
          <cell r="BA10" t="str">
            <v>.</v>
          </cell>
        </row>
        <row r="11">
          <cell r="D11" t="str">
            <v>New Product Growth</v>
          </cell>
          <cell r="E11" t="str">
            <v>Base Business</v>
          </cell>
          <cell r="BA11" t="str">
            <v>.</v>
          </cell>
        </row>
        <row r="12">
          <cell r="C12" t="str">
            <v>Q409E</v>
          </cell>
          <cell r="D12" t="e">
            <v>#REF!</v>
          </cell>
          <cell r="E12" t="e">
            <v>#REF!</v>
          </cell>
          <cell r="BA12" t="str">
            <v>.</v>
          </cell>
        </row>
        <row r="13">
          <cell r="C13" t="str">
            <v>Q110E</v>
          </cell>
          <cell r="D13" t="e">
            <v>#REF!</v>
          </cell>
          <cell r="E13" t="e">
            <v>#REF!</v>
          </cell>
          <cell r="BA13" t="str">
            <v>.</v>
          </cell>
        </row>
        <row r="14">
          <cell r="C14" t="str">
            <v>Q210E</v>
          </cell>
          <cell r="D14" t="e">
            <v>#REF!</v>
          </cell>
          <cell r="E14" t="e">
            <v>#REF!</v>
          </cell>
          <cell r="BA14" t="str">
            <v>.</v>
          </cell>
        </row>
        <row r="15">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47">
        <row r="1">
          <cell r="N1" t="str">
            <v>SmartCharts</v>
          </cell>
          <cell r="AW1" t="str">
            <v>.</v>
          </cell>
        </row>
        <row r="2">
          <cell r="AW2" t="str">
            <v>.</v>
          </cell>
        </row>
        <row r="3">
          <cell r="AW3" t="str">
            <v>.</v>
          </cell>
        </row>
        <row r="4">
          <cell r="AW4" t="str">
            <v>.</v>
          </cell>
        </row>
        <row r="5">
          <cell r="C5" t="str">
            <v>Define value axis here:</v>
          </cell>
        </row>
        <row r="6">
          <cell r="C6" t="str">
            <v>Nexxus Tracked Chaennl Sales Growth YoY</v>
          </cell>
        </row>
        <row r="10">
          <cell r="C10" t="str">
            <v>Input your data here:</v>
          </cell>
          <cell r="AW10" t="str">
            <v>.</v>
          </cell>
        </row>
        <row r="11">
          <cell r="C11" t="e">
            <v>#REF!</v>
          </cell>
          <cell r="D11" t="e">
            <v>#REF!</v>
          </cell>
        </row>
        <row r="12">
          <cell r="C12" t="e">
            <v>#REF!</v>
          </cell>
          <cell r="D12" t="e">
            <v>#REF!</v>
          </cell>
          <cell r="AW12" t="str">
            <v>.</v>
          </cell>
        </row>
        <row r="13">
          <cell r="C13" t="e">
            <v>#REF!</v>
          </cell>
          <cell r="D13" t="e">
            <v>#REF!</v>
          </cell>
          <cell r="AW13" t="str">
            <v>.</v>
          </cell>
        </row>
        <row r="14">
          <cell r="C14" t="e">
            <v>#REF!</v>
          </cell>
          <cell r="D14" t="e">
            <v>#REF!</v>
          </cell>
          <cell r="AW14" t="str">
            <v>.</v>
          </cell>
        </row>
        <row r="15">
          <cell r="C15" t="e">
            <v>#REF!</v>
          </cell>
          <cell r="D15" t="e">
            <v>#REF!</v>
          </cell>
          <cell r="AW15" t="str">
            <v>.</v>
          </cell>
        </row>
        <row r="16">
          <cell r="C16" t="e">
            <v>#REF!</v>
          </cell>
          <cell r="D16" t="e">
            <v>#REF!</v>
          </cell>
          <cell r="AW16" t="str">
            <v>.</v>
          </cell>
        </row>
        <row r="17">
          <cell r="C17" t="e">
            <v>#REF!</v>
          </cell>
          <cell r="D17" t="e">
            <v>#REF!</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48">
        <row r="1">
          <cell r="R1" t="str">
            <v>SmartCharts</v>
          </cell>
        </row>
      </sheetData>
      <sheetData sheetId="49">
        <row r="1">
          <cell r="N1" t="str">
            <v>SmartCharts</v>
          </cell>
          <cell r="AW1" t="str">
            <v>.</v>
          </cell>
        </row>
        <row r="2">
          <cell r="AW2" t="str">
            <v>.</v>
          </cell>
        </row>
        <row r="3">
          <cell r="AW3" t="str">
            <v>.</v>
          </cell>
        </row>
        <row r="4">
          <cell r="AW4" t="str">
            <v>.</v>
          </cell>
        </row>
        <row r="5">
          <cell r="C5" t="str">
            <v>Define value axis here:</v>
          </cell>
        </row>
        <row r="6">
          <cell r="C6" t="str">
            <v>Alberto-Culver Pro-Forma Brand Mix</v>
          </cell>
        </row>
        <row r="10">
          <cell r="C10" t="str">
            <v>Input your data here:</v>
          </cell>
          <cell r="AW10" t="str">
            <v>.</v>
          </cell>
        </row>
        <row r="11">
          <cell r="C11" t="str">
            <v>TRESemmé</v>
          </cell>
          <cell r="D11">
            <v>0.34790700924747081</v>
          </cell>
          <cell r="AW11" t="str">
            <v>.</v>
          </cell>
        </row>
        <row r="12">
          <cell r="C12" t="str">
            <v>VO5</v>
          </cell>
          <cell r="D12">
            <v>0.14668582095843605</v>
          </cell>
          <cell r="AW12" t="str">
            <v>.</v>
          </cell>
        </row>
        <row r="13">
          <cell r="C13" t="str">
            <v>St. Ives</v>
          </cell>
          <cell r="D13">
            <v>0.1041573453611255</v>
          </cell>
          <cell r="AW13" t="str">
            <v>.</v>
          </cell>
        </row>
        <row r="14">
          <cell r="C14" t="str">
            <v>Nexxus</v>
          </cell>
          <cell r="D14">
            <v>9.1369517580143847E-2</v>
          </cell>
          <cell r="AW14" t="str">
            <v>.</v>
          </cell>
        </row>
        <row r="15">
          <cell r="C15" t="str">
            <v>Ethnic Hair Care</v>
          </cell>
          <cell r="D15">
            <v>8.6293433270135847E-2</v>
          </cell>
          <cell r="AW15" t="str">
            <v>.</v>
          </cell>
        </row>
        <row r="16">
          <cell r="C16" t="str">
            <v>Simple Brands</v>
          </cell>
          <cell r="D16">
            <v>6.5078003974461424E-2</v>
          </cell>
          <cell r="AW16" t="str">
            <v>.</v>
          </cell>
        </row>
        <row r="17">
          <cell r="C17" t="str">
            <v>Noxzema</v>
          </cell>
          <cell r="D17">
            <v>2.6031201589784569E-2</v>
          </cell>
          <cell r="AW17" t="str">
            <v>.</v>
          </cell>
        </row>
        <row r="18">
          <cell r="C18" t="str">
            <v>Other</v>
          </cell>
          <cell r="D18">
            <v>0.13247766801844196</v>
          </cell>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50">
        <row r="1">
          <cell r="N1" t="str">
            <v>SmartCharts</v>
          </cell>
          <cell r="AW1" t="str">
            <v>.</v>
          </cell>
        </row>
        <row r="2">
          <cell r="AW2" t="str">
            <v>.</v>
          </cell>
        </row>
        <row r="3">
          <cell r="AW3" t="str">
            <v>.</v>
          </cell>
        </row>
        <row r="4">
          <cell r="AW4" t="str">
            <v>.</v>
          </cell>
        </row>
        <row r="5">
          <cell r="C5" t="str">
            <v>Define value axis here:</v>
          </cell>
        </row>
        <row r="6">
          <cell r="C6" t="str">
            <v>Operating Profit Five Year CAGR (2009-2014E)</v>
          </cell>
        </row>
        <row r="10">
          <cell r="C10" t="str">
            <v>Input your data here:</v>
          </cell>
          <cell r="AW10" t="str">
            <v>.</v>
          </cell>
        </row>
        <row r="11">
          <cell r="C11" t="str">
            <v>Alberto-Culver</v>
          </cell>
          <cell r="D11">
            <v>9.7844500899384679E-2</v>
          </cell>
        </row>
        <row r="12">
          <cell r="C12" t="str">
            <v>SMID Cap HPC Average*</v>
          </cell>
          <cell r="D12">
            <v>6.9375102156317953E-2</v>
          </cell>
          <cell r="AW12" t="str">
            <v>.</v>
          </cell>
        </row>
        <row r="13">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1">
        <row r="1">
          <cell r="N1" t="str">
            <v>SmartCharts</v>
          </cell>
          <cell r="AW1" t="str">
            <v>.</v>
          </cell>
        </row>
        <row r="2">
          <cell r="AW2" t="str">
            <v>.</v>
          </cell>
        </row>
        <row r="3">
          <cell r="AW3" t="str">
            <v>.</v>
          </cell>
        </row>
        <row r="4">
          <cell r="AW4" t="str">
            <v>.</v>
          </cell>
        </row>
        <row r="5">
          <cell r="C5" t="str">
            <v>Define value axis here:</v>
          </cell>
        </row>
        <row r="6">
          <cell r="C6" t="str">
            <v xml:space="preserve">ACV Topline Organic Growth (%) </v>
          </cell>
        </row>
        <row r="10">
          <cell r="C10" t="str">
            <v>Input your data here:</v>
          </cell>
          <cell r="AW10" t="str">
            <v>.</v>
          </cell>
        </row>
        <row r="11">
          <cell r="C11" t="str">
            <v>FY08 Two-Year Avg.</v>
          </cell>
          <cell r="D11">
            <v>8.8655250032498384E-2</v>
          </cell>
        </row>
        <row r="12">
          <cell r="C12" t="str">
            <v>FY09 YTD Two-Year Avg.</v>
          </cell>
          <cell r="D12">
            <v>7.311737680613524E-2</v>
          </cell>
          <cell r="AW12" t="str">
            <v>.</v>
          </cell>
        </row>
        <row r="13">
          <cell r="C13" t="str">
            <v>MS Five-Year Forecast</v>
          </cell>
          <cell r="D13">
            <v>4.5702498882106424E-2</v>
          </cell>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2">
        <row r="1">
          <cell r="N1" t="str">
            <v>SmartCharts</v>
          </cell>
          <cell r="AW1" t="str">
            <v>.</v>
          </cell>
        </row>
        <row r="2">
          <cell r="AW2" t="str">
            <v>.</v>
          </cell>
        </row>
        <row r="3">
          <cell r="AW3" t="str">
            <v>.</v>
          </cell>
        </row>
        <row r="4">
          <cell r="AW4" t="str">
            <v>.</v>
          </cell>
        </row>
        <row r="5">
          <cell r="C5" t="str">
            <v>Define value axis here:</v>
          </cell>
        </row>
        <row r="6">
          <cell r="C6" t="str">
            <v>MS Gross Margin Forecast (FY09-FY14e)</v>
          </cell>
        </row>
        <row r="10">
          <cell r="C10" t="str">
            <v>Input your data here:</v>
          </cell>
          <cell r="AW10" t="str">
            <v>.</v>
          </cell>
        </row>
        <row r="11">
          <cell r="C11" t="str">
            <v>FY09e</v>
          </cell>
          <cell r="D11">
            <v>0.51270031660134729</v>
          </cell>
        </row>
        <row r="12">
          <cell r="C12" t="str">
            <v>FY14e</v>
          </cell>
          <cell r="D12">
            <v>0.53210031660134738</v>
          </cell>
          <cell r="AW12" t="str">
            <v>.</v>
          </cell>
        </row>
        <row r="13">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3">
        <row r="1">
          <cell r="N1" t="str">
            <v>SmartCharts</v>
          </cell>
          <cell r="AW1" t="str">
            <v>.</v>
          </cell>
        </row>
        <row r="2">
          <cell r="AW2" t="str">
            <v>.</v>
          </cell>
        </row>
        <row r="3">
          <cell r="AW3" t="str">
            <v>.</v>
          </cell>
        </row>
        <row r="4">
          <cell r="AW4" t="str">
            <v>.</v>
          </cell>
        </row>
        <row r="5">
          <cell r="C5" t="str">
            <v>Define value axis here:</v>
          </cell>
        </row>
        <row r="6">
          <cell r="C6" t="str">
            <v>Organic Sales Growth Y-o-Y % Comparisons</v>
          </cell>
        </row>
        <row r="10">
          <cell r="C10" t="str">
            <v>Input your data here:</v>
          </cell>
          <cell r="AW10" t="str">
            <v>.</v>
          </cell>
        </row>
        <row r="11">
          <cell r="C11" t="str">
            <v>3Q09</v>
          </cell>
          <cell r="D11">
            <v>0.11276086568578593</v>
          </cell>
        </row>
        <row r="12">
          <cell r="C12" t="str">
            <v>4Q09</v>
          </cell>
          <cell r="D12">
            <v>8.4029631627084642E-2</v>
          </cell>
          <cell r="AW12" t="str">
            <v>.</v>
          </cell>
        </row>
        <row r="13">
          <cell r="C13" t="str">
            <v>1Q10</v>
          </cell>
          <cell r="D13">
            <v>9.5110039133183888E-2</v>
          </cell>
          <cell r="AW13" t="str">
            <v>.</v>
          </cell>
        </row>
        <row r="14">
          <cell r="C14" t="str">
            <v>2Q10</v>
          </cell>
          <cell r="D14">
            <v>6.2582578877919792E-2</v>
          </cell>
          <cell r="AW14" t="str">
            <v>.</v>
          </cell>
        </row>
        <row r="15">
          <cell r="C15" t="str">
            <v>3Q10</v>
          </cell>
          <cell r="D15">
            <v>1.9580360250251401E-2</v>
          </cell>
          <cell r="AW15" t="str">
            <v>.</v>
          </cell>
        </row>
        <row r="16">
          <cell r="C16" t="str">
            <v>4Q10</v>
          </cell>
          <cell r="D16">
            <v>2.693775438032895E-2</v>
          </cell>
          <cell r="AW16" t="str">
            <v>.</v>
          </cell>
        </row>
        <row r="17">
          <cell r="C17" t="str">
            <v>1Q11</v>
          </cell>
          <cell r="D17">
            <v>-2.8961494640541985E-4</v>
          </cell>
          <cell r="AW17" t="str">
            <v>.</v>
          </cell>
        </row>
        <row r="18">
          <cell r="C18" t="str">
            <v>2Q11</v>
          </cell>
          <cell r="D18">
            <v>1.154062939256293E-2</v>
          </cell>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4">
        <row r="1">
          <cell r="N1" t="str">
            <v>SmartCharts</v>
          </cell>
        </row>
      </sheetData>
      <sheetData sheetId="55">
        <row r="1">
          <cell r="A1" t="str">
            <v>Share Repurchases Analysis</v>
          </cell>
        </row>
      </sheetData>
      <sheetData sheetId="56">
        <row r="1">
          <cell r="O1" t="str">
            <v>SmartCharts</v>
          </cell>
        </row>
      </sheetData>
      <sheetData sheetId="57">
        <row r="1">
          <cell r="B1" t="str">
            <v>This sheet contains Factset binary data for use with this workbook's =FDS codes.  Modifying the worksheet's contents may damage the workbook's =FDS functionality.</v>
          </cell>
        </row>
      </sheetData>
      <sheetData sheetId="58">
        <row r="1">
          <cell r="N1" t="str">
            <v>SmartCharts</v>
          </cell>
        </row>
      </sheetData>
      <sheetData sheetId="59">
        <row r="1">
          <cell r="P1" t="str">
            <v>SmartCharts</v>
          </cell>
        </row>
      </sheetData>
      <sheetData sheetId="60">
        <row r="1">
          <cell r="P1" t="str">
            <v>SmartCharts</v>
          </cell>
        </row>
      </sheetData>
      <sheetData sheetId="61">
        <row r="1">
          <cell r="P1" t="str">
            <v>SmartCharts</v>
          </cell>
        </row>
      </sheetData>
      <sheetData sheetId="62">
        <row r="1">
          <cell r="P1" t="str">
            <v>SmartCharts</v>
          </cell>
        </row>
      </sheetData>
      <sheetData sheetId="63">
        <row r="1">
          <cell r="N1" t="str">
            <v>SmartCharts</v>
          </cell>
        </row>
      </sheetData>
      <sheetData sheetId="64">
        <row r="1">
          <cell r="N1" t="str">
            <v>SmartCharts</v>
          </cell>
        </row>
      </sheetData>
      <sheetData sheetId="65">
        <row r="1">
          <cell r="N1" t="str">
            <v>SmartCharts</v>
          </cell>
        </row>
      </sheetData>
      <sheetData sheetId="66">
        <row r="1">
          <cell r="N1" t="str">
            <v>SmartCharts</v>
          </cell>
        </row>
      </sheetData>
      <sheetData sheetId="67" refreshError="1"/>
      <sheetData sheetId="68" refreshError="1"/>
      <sheetData sheetId="69" refreshError="1"/>
      <sheetData sheetId="70" refreshError="1"/>
      <sheetData sheetId="71" refreshError="1"/>
      <sheetData sheetId="7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1070"/>
    </sheetNames>
    <sheetDataSet>
      <sheetData sheetId="0" refreshError="1">
        <row r="1">
          <cell r="N1" t="str">
            <v>SmartCharts</v>
          </cell>
          <cell r="AY1" t="str">
            <v>.</v>
          </cell>
        </row>
        <row r="2">
          <cell r="AY2" t="str">
            <v>.</v>
          </cell>
        </row>
        <row r="3">
          <cell r="AY3" t="str">
            <v>.</v>
          </cell>
        </row>
        <row r="5">
          <cell r="C5" t="str">
            <v>Define value axis here:</v>
          </cell>
          <cell r="I5" t="str">
            <v>By default, this chart displays an Average line.</v>
          </cell>
        </row>
        <row r="6">
          <cell r="C6" t="str">
            <v>Value axis definition</v>
          </cell>
          <cell r="I6" t="str">
            <v>Use the cells below to display an alternative benchmark.</v>
          </cell>
        </row>
        <row r="8">
          <cell r="I8" t="str">
            <v xml:space="preserve">label </v>
          </cell>
          <cell r="L8" t="str">
            <v/>
          </cell>
        </row>
        <row r="10">
          <cell r="I10" t="str">
            <v xml:space="preserve">value </v>
          </cell>
        </row>
        <row r="11">
          <cell r="E11" t="str">
            <v xml:space="preserve">  </v>
          </cell>
        </row>
        <row r="13">
          <cell r="C13" t="str">
            <v>Input your data here:</v>
          </cell>
          <cell r="AB13" t="str">
            <v>invisible1</v>
          </cell>
        </row>
        <row r="14">
          <cell r="C14" t="str">
            <v>Item 1</v>
          </cell>
          <cell r="D14">
            <v>78</v>
          </cell>
          <cell r="AA14" t="str">
            <v xml:space="preserve">  </v>
          </cell>
          <cell r="AB14">
            <v>43.333333333333336</v>
          </cell>
        </row>
        <row r="15">
          <cell r="C15" t="str">
            <v>Item 2</v>
          </cell>
          <cell r="D15">
            <v>58</v>
          </cell>
        </row>
        <row r="16">
          <cell r="C16" t="str">
            <v>Item 3</v>
          </cell>
          <cell r="D16">
            <v>45</v>
          </cell>
          <cell r="AA16" t="str">
            <v>width</v>
          </cell>
          <cell r="AB16">
            <v>0.54600000000000004</v>
          </cell>
        </row>
        <row r="17">
          <cell r="C17" t="str">
            <v>Item 4</v>
          </cell>
          <cell r="D17">
            <v>30</v>
          </cell>
        </row>
        <row r="18">
          <cell r="C18" t="str">
            <v>Item 5</v>
          </cell>
          <cell r="D18">
            <v>26</v>
          </cell>
          <cell r="AA18" t="str">
            <v>scaling</v>
          </cell>
          <cell r="AB18">
            <v>7.0000000000000001E-3</v>
          </cell>
        </row>
        <row r="19">
          <cell r="C19" t="str">
            <v>Item 6</v>
          </cell>
          <cell r="D19">
            <v>23</v>
          </cell>
        </row>
        <row r="20">
          <cell r="AA20" t="str">
            <v>label</v>
          </cell>
          <cell r="AB20" t="str">
            <v xml:space="preserve">  average</v>
          </cell>
        </row>
        <row r="40">
          <cell r="F40" t="str">
            <v>Do not change the width of the exhibit or font sizes (they are optimized for export to Word).</v>
          </cell>
        </row>
        <row r="42">
          <cell r="F42" t="str">
            <v>Do not delete any rows or columns (some gray cells are used for calculations).</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DA"/>
      <sheetName val="SD&amp;A"/>
      <sheetName val="Resin"/>
      <sheetName val="EM-DM Growth"/>
      <sheetName val="Topline Sensitivity"/>
      <sheetName val="SLDS Cat Mix_Bar"/>
      <sheetName val="SLDSRegionSales_Bar"/>
      <sheetName val="SLDS Category Mix"/>
      <sheetName val="SLDS Region Sales Mix"/>
      <sheetName val="EM Organic Growth Sensitivity"/>
      <sheetName val="TUP_EBIT_Mix"/>
      <sheetName val="TUP_Revenue_Mix"/>
      <sheetName val="TUP_Rev_Mix"/>
      <sheetName val="SMID HPC 5 Year Org Growth"/>
      <sheetName val="EM vs S&amp;P"/>
      <sheetName val="EM Growth"/>
      <sheetName val="NAmerica-GermanyDrag"/>
      <sheetName val="EMToplineBuild"/>
      <sheetName val="NAmer_Germ_Drag"/>
      <sheetName val="NA Old Trends"/>
      <sheetName val="TUPNA_Old_Trends"/>
      <sheetName val="TUPNA_New_Trends"/>
      <sheetName val="GermOrgSales_Euro Margins"/>
      <sheetName val="European_Sales_Op_Margins"/>
      <sheetName val="L1071"/>
      <sheetName val="TUP Org Sales Growth"/>
      <sheetName val="2 Year StackedOrg Sales"/>
      <sheetName val="MarketvsMSOpIncome"/>
      <sheetName val="MarketvsMSOpIncome (2)"/>
      <sheetName val="LTM vs NTM Comps"/>
      <sheetName val="Traling 2 Year Org vs MS F-Cast"/>
      <sheetName val="AVP Org Growth"/>
      <sheetName val="HPC_Net_Debt_EBITDA"/>
      <sheetName val="2 Year Organic Sales %"/>
      <sheetName val="EPS vs. Street_and_Company"/>
      <sheetName val="Active-Org Sales Gap"/>
      <sheetName val="ActivevOrgRegres-1Qtr"/>
      <sheetName val="ActivevOrgRegres-2Qtr"/>
      <sheetName val="TotalOrgRegres-1Qtr "/>
      <sheetName val="TotalOrgRegres-2Qtr "/>
      <sheetName val="2000-2005EPS_OMChange"/>
      <sheetName val="EM as % of Mix"/>
      <sheetName val="Org Sales Growth"/>
      <sheetName val="Est Above Consensus"/>
      <sheetName val="OPMSvsConsensus"/>
      <sheetName val="RevMSvsConsensus"/>
      <sheetName val="Est Above Consensus (2)"/>
      <sheetName val="ROIC_ROIC-WACC"/>
      <sheetName val="R3020"/>
      <sheetName val="Adj PE "/>
      <sheetName val="Data"/>
      <sheetName val="EV-EBITDA"/>
    </sheetNames>
    <sheetDataSet>
      <sheetData sheetId="0" refreshError="1">
        <row r="12">
          <cell r="Z12" t="str">
            <v>Q108</v>
          </cell>
          <cell r="AA12">
            <v>-119.88023495781874</v>
          </cell>
        </row>
        <row r="13">
          <cell r="Z13" t="str">
            <v>Q208</v>
          </cell>
        </row>
        <row r="14">
          <cell r="Z14" t="str">
            <v>Q308</v>
          </cell>
        </row>
        <row r="15">
          <cell r="Z15" t="str">
            <v>Q408</v>
          </cell>
        </row>
        <row r="16">
          <cell r="Z16" t="str">
            <v>Q109</v>
          </cell>
        </row>
        <row r="17">
          <cell r="Z17" t="str">
            <v>Q209</v>
          </cell>
        </row>
        <row r="18">
          <cell r="Z18" t="str">
            <v>Q309E</v>
          </cell>
        </row>
        <row r="19">
          <cell r="Z19" t="str">
            <v>Q409E</v>
          </cell>
        </row>
        <row r="20">
          <cell r="Z20" t="str">
            <v>2010E</v>
          </cell>
        </row>
        <row r="21">
          <cell r="Z21" t="str">
            <v>2011E</v>
          </cell>
        </row>
        <row r="22">
          <cell r="Z22" t="b">
            <v>0</v>
          </cell>
        </row>
        <row r="23">
          <cell r="Z23" t="b">
            <v>0</v>
          </cell>
        </row>
        <row r="24">
          <cell r="Z24" t="b">
            <v>0</v>
          </cell>
        </row>
        <row r="25">
          <cell r="Z25" t="b">
            <v>0</v>
          </cell>
        </row>
        <row r="26">
          <cell r="Z26" t="b">
            <v>0</v>
          </cell>
        </row>
        <row r="27">
          <cell r="Z27" t="b">
            <v>0</v>
          </cell>
        </row>
        <row r="28">
          <cell r="Z28" t="b">
            <v>0</v>
          </cell>
        </row>
        <row r="29">
          <cell r="Z29" t="b">
            <v>0</v>
          </cell>
        </row>
        <row r="30">
          <cell r="Z30" t="b">
            <v>0</v>
          </cell>
        </row>
        <row r="31">
          <cell r="Z31" t="b">
            <v>0</v>
          </cell>
        </row>
        <row r="32">
          <cell r="Z32" t="b">
            <v>0</v>
          </cell>
        </row>
        <row r="33">
          <cell r="Z33" t="b">
            <v>0</v>
          </cell>
        </row>
        <row r="34">
          <cell r="Z34" t="b">
            <v>0</v>
          </cell>
        </row>
        <row r="35">
          <cell r="Z35" t="b">
            <v>0</v>
          </cell>
        </row>
        <row r="36">
          <cell r="Z36" t="b">
            <v>0</v>
          </cell>
        </row>
        <row r="37">
          <cell r="Z37" t="b">
            <v>0</v>
          </cell>
        </row>
        <row r="38">
          <cell r="Z38" t="b">
            <v>0</v>
          </cell>
        </row>
        <row r="39">
          <cell r="Z39" t="b">
            <v>0</v>
          </cell>
        </row>
        <row r="40">
          <cell r="Z40" t="b">
            <v>0</v>
          </cell>
        </row>
        <row r="41">
          <cell r="Z41" t="b">
            <v>0</v>
          </cell>
        </row>
        <row r="42">
          <cell r="Z42" t="b">
            <v>0</v>
          </cell>
        </row>
        <row r="43">
          <cell r="Z43" t="b">
            <v>0</v>
          </cell>
        </row>
        <row r="44">
          <cell r="Z44" t="b">
            <v>0</v>
          </cell>
        </row>
        <row r="45">
          <cell r="Z45" t="b">
            <v>0</v>
          </cell>
        </row>
        <row r="46">
          <cell r="Z46" t="b">
            <v>0</v>
          </cell>
        </row>
        <row r="47">
          <cell r="Z47" t="b">
            <v>0</v>
          </cell>
        </row>
        <row r="48">
          <cell r="Z48" t="b">
            <v>0</v>
          </cell>
        </row>
        <row r="49">
          <cell r="Z49" t="b">
            <v>0</v>
          </cell>
        </row>
        <row r="50">
          <cell r="Z50" t="b">
            <v>0</v>
          </cell>
        </row>
        <row r="51">
          <cell r="Z51" t="b">
            <v>0</v>
          </cell>
        </row>
        <row r="52">
          <cell r="Z52" t="b">
            <v>0</v>
          </cell>
        </row>
        <row r="53">
          <cell r="Z53" t="b">
            <v>0</v>
          </cell>
        </row>
        <row r="54">
          <cell r="Z54" t="b">
            <v>0</v>
          </cell>
        </row>
        <row r="55">
          <cell r="Z55" t="b">
            <v>0</v>
          </cell>
        </row>
        <row r="56">
          <cell r="Z56" t="b">
            <v>0</v>
          </cell>
        </row>
        <row r="57">
          <cell r="Z57" t="b">
            <v>0</v>
          </cell>
        </row>
        <row r="58">
          <cell r="Z58" t="b">
            <v>0</v>
          </cell>
        </row>
        <row r="59">
          <cell r="Z59" t="b">
            <v>0</v>
          </cell>
        </row>
        <row r="60">
          <cell r="Z60" t="b">
            <v>0</v>
          </cell>
        </row>
        <row r="61">
          <cell r="Z61" t="b">
            <v>0</v>
          </cell>
        </row>
        <row r="62">
          <cell r="Z62" t="b">
            <v>0</v>
          </cell>
        </row>
        <row r="63">
          <cell r="Z63" t="b">
            <v>0</v>
          </cell>
        </row>
        <row r="64">
          <cell r="Z64" t="b">
            <v>0</v>
          </cell>
        </row>
        <row r="65">
          <cell r="Z65" t="b">
            <v>0</v>
          </cell>
        </row>
        <row r="66">
          <cell r="Z66" t="b">
            <v>0</v>
          </cell>
        </row>
        <row r="67">
          <cell r="Z67" t="b">
            <v>0</v>
          </cell>
        </row>
        <row r="68">
          <cell r="Z68" t="b">
            <v>0</v>
          </cell>
        </row>
        <row r="69">
          <cell r="Z69" t="b">
            <v>0</v>
          </cell>
        </row>
        <row r="70">
          <cell r="Z70" t="b">
            <v>0</v>
          </cell>
        </row>
        <row r="71">
          <cell r="Z71" t="b">
            <v>0</v>
          </cell>
        </row>
        <row r="72">
          <cell r="Z72" t="b">
            <v>0</v>
          </cell>
        </row>
        <row r="73">
          <cell r="Z73" t="b">
            <v>0</v>
          </cell>
        </row>
        <row r="74">
          <cell r="Z74" t="b">
            <v>0</v>
          </cell>
        </row>
        <row r="75">
          <cell r="Z75" t="b">
            <v>0</v>
          </cell>
        </row>
        <row r="76">
          <cell r="Z76" t="b">
            <v>0</v>
          </cell>
        </row>
        <row r="77">
          <cell r="Z77" t="b">
            <v>0</v>
          </cell>
        </row>
        <row r="78">
          <cell r="Z78" t="b">
            <v>0</v>
          </cell>
        </row>
        <row r="79">
          <cell r="Z79" t="b">
            <v>0</v>
          </cell>
        </row>
        <row r="80">
          <cell r="Z80" t="b">
            <v>0</v>
          </cell>
        </row>
        <row r="81">
          <cell r="Z81" t="b">
            <v>0</v>
          </cell>
        </row>
        <row r="82">
          <cell r="Z82" t="b">
            <v>0</v>
          </cell>
        </row>
        <row r="83">
          <cell r="Z83" t="b">
            <v>0</v>
          </cell>
        </row>
        <row r="84">
          <cell r="Z84" t="b">
            <v>0</v>
          </cell>
        </row>
        <row r="85">
          <cell r="Z85" t="b">
            <v>0</v>
          </cell>
        </row>
        <row r="86">
          <cell r="Z86" t="b">
            <v>0</v>
          </cell>
        </row>
        <row r="87">
          <cell r="Z87" t="b">
            <v>0</v>
          </cell>
        </row>
        <row r="88">
          <cell r="Z88" t="b">
            <v>0</v>
          </cell>
        </row>
        <row r="89">
          <cell r="Z89" t="b">
            <v>0</v>
          </cell>
        </row>
        <row r="90">
          <cell r="Z90" t="b">
            <v>0</v>
          </cell>
        </row>
        <row r="91">
          <cell r="Z91" t="b">
            <v>0</v>
          </cell>
        </row>
        <row r="92">
          <cell r="Z92" t="b">
            <v>0</v>
          </cell>
        </row>
        <row r="93">
          <cell r="Z93" t="b">
            <v>0</v>
          </cell>
        </row>
        <row r="94">
          <cell r="Z94" t="b">
            <v>0</v>
          </cell>
        </row>
        <row r="95">
          <cell r="Z95" t="b">
            <v>0</v>
          </cell>
        </row>
        <row r="96">
          <cell r="Z96" t="b">
            <v>0</v>
          </cell>
        </row>
        <row r="97">
          <cell r="Z97" t="b">
            <v>0</v>
          </cell>
        </row>
        <row r="98">
          <cell r="Z98" t="b">
            <v>0</v>
          </cell>
        </row>
        <row r="99">
          <cell r="Z99" t="b">
            <v>0</v>
          </cell>
        </row>
        <row r="100">
          <cell r="Z100" t="b">
            <v>0</v>
          </cell>
        </row>
        <row r="101">
          <cell r="Z101" t="b">
            <v>0</v>
          </cell>
        </row>
        <row r="102">
          <cell r="Z102" t="b">
            <v>0</v>
          </cell>
        </row>
        <row r="103">
          <cell r="Z103" t="b">
            <v>0</v>
          </cell>
        </row>
        <row r="104">
          <cell r="Z104" t="b">
            <v>0</v>
          </cell>
        </row>
        <row r="105">
          <cell r="Z105" t="b">
            <v>0</v>
          </cell>
        </row>
        <row r="106">
          <cell r="Z106" t="b">
            <v>0</v>
          </cell>
        </row>
        <row r="107">
          <cell r="Z107" t="b">
            <v>0</v>
          </cell>
        </row>
        <row r="108">
          <cell r="Z108" t="b">
            <v>0</v>
          </cell>
        </row>
        <row r="109">
          <cell r="Z109" t="b">
            <v>0</v>
          </cell>
        </row>
        <row r="110">
          <cell r="Z110" t="b">
            <v>0</v>
          </cell>
        </row>
        <row r="111">
          <cell r="Z111" t="b">
            <v>0</v>
          </cell>
        </row>
        <row r="112">
          <cell r="Z112" t="b">
            <v>0</v>
          </cell>
        </row>
        <row r="113">
          <cell r="Z113" t="b">
            <v>0</v>
          </cell>
        </row>
        <row r="114">
          <cell r="Z114" t="b">
            <v>0</v>
          </cell>
        </row>
        <row r="115">
          <cell r="Z115" t="b">
            <v>0</v>
          </cell>
        </row>
        <row r="116">
          <cell r="Z116" t="b">
            <v>0</v>
          </cell>
        </row>
        <row r="117">
          <cell r="Z117" t="b">
            <v>0</v>
          </cell>
        </row>
        <row r="118">
          <cell r="Z118" t="b">
            <v>0</v>
          </cell>
        </row>
        <row r="119">
          <cell r="Z119" t="b">
            <v>0</v>
          </cell>
        </row>
        <row r="120">
          <cell r="Z120" t="b">
            <v>0</v>
          </cell>
        </row>
        <row r="121">
          <cell r="Z121" t="b">
            <v>0</v>
          </cell>
        </row>
        <row r="122">
          <cell r="Z122" t="b">
            <v>0</v>
          </cell>
        </row>
        <row r="123">
          <cell r="Z123" t="b">
            <v>0</v>
          </cell>
        </row>
        <row r="124">
          <cell r="Z124" t="b">
            <v>0</v>
          </cell>
        </row>
        <row r="125">
          <cell r="Z125" t="b">
            <v>0</v>
          </cell>
        </row>
        <row r="126">
          <cell r="Z126" t="b">
            <v>0</v>
          </cell>
        </row>
        <row r="127">
          <cell r="Z127" t="b">
            <v>0</v>
          </cell>
        </row>
        <row r="128">
          <cell r="Z128" t="b">
            <v>0</v>
          </cell>
        </row>
        <row r="129">
          <cell r="Z129" t="b">
            <v>0</v>
          </cell>
        </row>
        <row r="130">
          <cell r="Z130" t="b">
            <v>0</v>
          </cell>
        </row>
        <row r="131">
          <cell r="Z131" t="b">
            <v>0</v>
          </cell>
        </row>
        <row r="132">
          <cell r="Z132" t="b">
            <v>0</v>
          </cell>
        </row>
        <row r="133">
          <cell r="Z133" t="b">
            <v>0</v>
          </cell>
        </row>
        <row r="134">
          <cell r="Z134" t="b">
            <v>0</v>
          </cell>
        </row>
        <row r="135">
          <cell r="Z135" t="b">
            <v>0</v>
          </cell>
        </row>
        <row r="136">
          <cell r="Z136" t="b">
            <v>0</v>
          </cell>
        </row>
        <row r="137">
          <cell r="Z137" t="b">
            <v>0</v>
          </cell>
        </row>
        <row r="138">
          <cell r="Z138" t="b">
            <v>0</v>
          </cell>
        </row>
        <row r="139">
          <cell r="Z139" t="b">
            <v>0</v>
          </cell>
        </row>
        <row r="140">
          <cell r="Z140" t="b">
            <v>0</v>
          </cell>
        </row>
        <row r="141">
          <cell r="Z141" t="b">
            <v>0</v>
          </cell>
        </row>
        <row r="142">
          <cell r="Z142" t="b">
            <v>0</v>
          </cell>
        </row>
        <row r="143">
          <cell r="Z143" t="b">
            <v>0</v>
          </cell>
        </row>
        <row r="144">
          <cell r="Z144" t="b">
            <v>0</v>
          </cell>
        </row>
        <row r="145">
          <cell r="Z145" t="b">
            <v>0</v>
          </cell>
        </row>
        <row r="146">
          <cell r="Z146" t="b">
            <v>0</v>
          </cell>
        </row>
        <row r="147">
          <cell r="Z147" t="b">
            <v>0</v>
          </cell>
        </row>
        <row r="148">
          <cell r="Z148" t="b">
            <v>0</v>
          </cell>
        </row>
        <row r="149">
          <cell r="Z149" t="b">
            <v>0</v>
          </cell>
        </row>
        <row r="150">
          <cell r="Z150" t="b">
            <v>0</v>
          </cell>
        </row>
        <row r="151">
          <cell r="Z151" t="b">
            <v>0</v>
          </cell>
        </row>
        <row r="152">
          <cell r="Z152" t="b">
            <v>0</v>
          </cell>
        </row>
        <row r="153">
          <cell r="Z153" t="b">
            <v>0</v>
          </cell>
        </row>
        <row r="154">
          <cell r="Z154" t="b">
            <v>0</v>
          </cell>
        </row>
        <row r="155">
          <cell r="Z155" t="b">
            <v>0</v>
          </cell>
        </row>
        <row r="156">
          <cell r="Z156" t="b">
            <v>0</v>
          </cell>
        </row>
        <row r="157">
          <cell r="Z157" t="b">
            <v>0</v>
          </cell>
        </row>
        <row r="158">
          <cell r="Z158" t="b">
            <v>0</v>
          </cell>
        </row>
        <row r="159">
          <cell r="Z159" t="b">
            <v>0</v>
          </cell>
        </row>
        <row r="160">
          <cell r="Z160" t="b">
            <v>0</v>
          </cell>
        </row>
        <row r="161">
          <cell r="Z161" t="b">
            <v>0</v>
          </cell>
        </row>
        <row r="162">
          <cell r="Z162" t="b">
            <v>0</v>
          </cell>
        </row>
        <row r="163">
          <cell r="Z163" t="b">
            <v>0</v>
          </cell>
        </row>
        <row r="164">
          <cell r="Z164" t="b">
            <v>0</v>
          </cell>
        </row>
        <row r="165">
          <cell r="Z165" t="b">
            <v>0</v>
          </cell>
        </row>
        <row r="166">
          <cell r="Z166" t="b">
            <v>0</v>
          </cell>
        </row>
        <row r="167">
          <cell r="Z167" t="b">
            <v>0</v>
          </cell>
        </row>
        <row r="168">
          <cell r="Z168" t="b">
            <v>0</v>
          </cell>
        </row>
        <row r="169">
          <cell r="Z169" t="b">
            <v>0</v>
          </cell>
        </row>
        <row r="170">
          <cell r="Z170" t="b">
            <v>0</v>
          </cell>
        </row>
        <row r="171">
          <cell r="Z171" t="b">
            <v>0</v>
          </cell>
        </row>
        <row r="172">
          <cell r="Z172" t="b">
            <v>0</v>
          </cell>
        </row>
        <row r="173">
          <cell r="Z173" t="b">
            <v>0</v>
          </cell>
        </row>
        <row r="174">
          <cell r="Z174" t="b">
            <v>0</v>
          </cell>
        </row>
        <row r="175">
          <cell r="Z175" t="b">
            <v>0</v>
          </cell>
        </row>
        <row r="176">
          <cell r="Z176" t="b">
            <v>0</v>
          </cell>
        </row>
        <row r="177">
          <cell r="Z177" t="b">
            <v>0</v>
          </cell>
        </row>
        <row r="178">
          <cell r="Z178" t="b">
            <v>0</v>
          </cell>
        </row>
        <row r="179">
          <cell r="Z179" t="b">
            <v>0</v>
          </cell>
        </row>
        <row r="180">
          <cell r="Z180" t="b">
            <v>0</v>
          </cell>
        </row>
        <row r="181">
          <cell r="Z181" t="b">
            <v>0</v>
          </cell>
        </row>
        <row r="182">
          <cell r="Z182" t="b">
            <v>0</v>
          </cell>
        </row>
        <row r="183">
          <cell r="Z183" t="b">
            <v>0</v>
          </cell>
        </row>
        <row r="184">
          <cell r="Z184" t="b">
            <v>0</v>
          </cell>
        </row>
        <row r="185">
          <cell r="Z185" t="b">
            <v>0</v>
          </cell>
        </row>
        <row r="186">
          <cell r="Z186" t="b">
            <v>0</v>
          </cell>
        </row>
        <row r="187">
          <cell r="Z187" t="b">
            <v>0</v>
          </cell>
        </row>
        <row r="188">
          <cell r="Z188" t="b">
            <v>0</v>
          </cell>
        </row>
        <row r="189">
          <cell r="Z189" t="b">
            <v>0</v>
          </cell>
        </row>
        <row r="190">
          <cell r="Z190" t="b">
            <v>0</v>
          </cell>
        </row>
        <row r="191">
          <cell r="Z191" t="b">
            <v>0</v>
          </cell>
        </row>
        <row r="192">
          <cell r="Z192" t="b">
            <v>0</v>
          </cell>
        </row>
        <row r="193">
          <cell r="Z193" t="b">
            <v>0</v>
          </cell>
        </row>
        <row r="194">
          <cell r="Z194" t="b">
            <v>0</v>
          </cell>
        </row>
        <row r="195">
          <cell r="Z195" t="b">
            <v>0</v>
          </cell>
        </row>
        <row r="196">
          <cell r="Z196" t="b">
            <v>0</v>
          </cell>
        </row>
        <row r="197">
          <cell r="Z197" t="b">
            <v>0</v>
          </cell>
        </row>
        <row r="198">
          <cell r="Z198" t="b">
            <v>0</v>
          </cell>
        </row>
        <row r="199">
          <cell r="Z199" t="b">
            <v>0</v>
          </cell>
        </row>
        <row r="200">
          <cell r="Z200" t="b">
            <v>0</v>
          </cell>
        </row>
        <row r="201">
          <cell r="Z201" t="b">
            <v>0</v>
          </cell>
        </row>
        <row r="202">
          <cell r="Z202" t="b">
            <v>0</v>
          </cell>
        </row>
        <row r="203">
          <cell r="Z203" t="b">
            <v>0</v>
          </cell>
        </row>
        <row r="204">
          <cell r="Z204" t="b">
            <v>0</v>
          </cell>
        </row>
        <row r="205">
          <cell r="Z205" t="b">
            <v>0</v>
          </cell>
        </row>
        <row r="206">
          <cell r="Z206" t="b">
            <v>0</v>
          </cell>
        </row>
        <row r="207">
          <cell r="Z207" t="b">
            <v>0</v>
          </cell>
        </row>
        <row r="208">
          <cell r="Z208" t="b">
            <v>0</v>
          </cell>
        </row>
        <row r="209">
          <cell r="Z209" t="b">
            <v>0</v>
          </cell>
        </row>
        <row r="210">
          <cell r="Z210" t="b">
            <v>0</v>
          </cell>
        </row>
        <row r="211">
          <cell r="Z211" t="b">
            <v>0</v>
          </cell>
        </row>
        <row r="212">
          <cell r="Z212" t="b">
            <v>0</v>
          </cell>
        </row>
        <row r="213">
          <cell r="Z213" t="b">
            <v>0</v>
          </cell>
        </row>
        <row r="214">
          <cell r="Z214" t="b">
            <v>0</v>
          </cell>
        </row>
        <row r="215">
          <cell r="Z215" t="b">
            <v>0</v>
          </cell>
        </row>
        <row r="216">
          <cell r="Z216" t="b">
            <v>0</v>
          </cell>
        </row>
        <row r="217">
          <cell r="Z217" t="b">
            <v>0</v>
          </cell>
        </row>
        <row r="218">
          <cell r="Z218" t="b">
            <v>0</v>
          </cell>
        </row>
        <row r="219">
          <cell r="Z219" t="b">
            <v>0</v>
          </cell>
        </row>
        <row r="220">
          <cell r="Z220" t="b">
            <v>0</v>
          </cell>
        </row>
        <row r="221">
          <cell r="Z221" t="b">
            <v>0</v>
          </cell>
        </row>
        <row r="222">
          <cell r="Z222" t="b">
            <v>0</v>
          </cell>
        </row>
        <row r="223">
          <cell r="Z223" t="b">
            <v>0</v>
          </cell>
        </row>
        <row r="224">
          <cell r="Z224" t="b">
            <v>0</v>
          </cell>
        </row>
        <row r="225">
          <cell r="Z225" t="b">
            <v>0</v>
          </cell>
        </row>
        <row r="226">
          <cell r="Z226" t="b">
            <v>0</v>
          </cell>
        </row>
        <row r="227">
          <cell r="Z227" t="b">
            <v>0</v>
          </cell>
        </row>
        <row r="228">
          <cell r="Z228" t="b">
            <v>0</v>
          </cell>
        </row>
        <row r="229">
          <cell r="Z229" t="b">
            <v>0</v>
          </cell>
        </row>
        <row r="230">
          <cell r="Z230" t="b">
            <v>0</v>
          </cell>
        </row>
        <row r="231">
          <cell r="Z231" t="b">
            <v>0</v>
          </cell>
        </row>
        <row r="232">
          <cell r="Z232" t="b">
            <v>0</v>
          </cell>
        </row>
        <row r="233">
          <cell r="Z233" t="b">
            <v>0</v>
          </cell>
        </row>
        <row r="234">
          <cell r="Z234" t="b">
            <v>0</v>
          </cell>
        </row>
        <row r="235">
          <cell r="Z235" t="b">
            <v>0</v>
          </cell>
        </row>
        <row r="236">
          <cell r="Z236" t="b">
            <v>0</v>
          </cell>
        </row>
        <row r="237">
          <cell r="Z237" t="b">
            <v>0</v>
          </cell>
        </row>
        <row r="238">
          <cell r="Z238" t="b">
            <v>0</v>
          </cell>
        </row>
        <row r="239">
          <cell r="Z239" t="b">
            <v>0</v>
          </cell>
        </row>
        <row r="240">
          <cell r="Z240" t="b">
            <v>0</v>
          </cell>
        </row>
        <row r="241">
          <cell r="Z241" t="b">
            <v>0</v>
          </cell>
        </row>
        <row r="242">
          <cell r="Z242" t="b">
            <v>0</v>
          </cell>
        </row>
        <row r="243">
          <cell r="Z243" t="b">
            <v>0</v>
          </cell>
        </row>
        <row r="244">
          <cell r="Z244" t="b">
            <v>0</v>
          </cell>
        </row>
        <row r="245">
          <cell r="Z245" t="b">
            <v>0</v>
          </cell>
        </row>
        <row r="246">
          <cell r="Z246" t="b">
            <v>0</v>
          </cell>
        </row>
        <row r="247">
          <cell r="Z247" t="b">
            <v>0</v>
          </cell>
        </row>
        <row r="248">
          <cell r="Z248" t="b">
            <v>0</v>
          </cell>
        </row>
        <row r="249">
          <cell r="Z249" t="b">
            <v>0</v>
          </cell>
        </row>
        <row r="250">
          <cell r="Z250" t="b">
            <v>0</v>
          </cell>
        </row>
        <row r="251">
          <cell r="Z251" t="b">
            <v>0</v>
          </cell>
        </row>
        <row r="252">
          <cell r="Z252" t="b">
            <v>0</v>
          </cell>
        </row>
        <row r="253">
          <cell r="Z253" t="b">
            <v>0</v>
          </cell>
        </row>
        <row r="254">
          <cell r="Z254" t="b">
            <v>0</v>
          </cell>
        </row>
        <row r="255">
          <cell r="Z255" t="b">
            <v>0</v>
          </cell>
        </row>
        <row r="256">
          <cell r="Z256" t="b">
            <v>0</v>
          </cell>
        </row>
        <row r="257">
          <cell r="Z257" t="b">
            <v>0</v>
          </cell>
        </row>
        <row r="258">
          <cell r="Z258" t="b">
            <v>0</v>
          </cell>
        </row>
        <row r="259">
          <cell r="Z259" t="b">
            <v>0</v>
          </cell>
        </row>
        <row r="260">
          <cell r="Z260" t="b">
            <v>0</v>
          </cell>
        </row>
        <row r="261">
          <cell r="Z261" t="b">
            <v>0</v>
          </cell>
        </row>
        <row r="262">
          <cell r="Z262" t="b">
            <v>0</v>
          </cell>
        </row>
        <row r="263">
          <cell r="Z263" t="b">
            <v>0</v>
          </cell>
        </row>
        <row r="264">
          <cell r="Z264" t="b">
            <v>0</v>
          </cell>
        </row>
        <row r="265">
          <cell r="Z265" t="b">
            <v>0</v>
          </cell>
        </row>
        <row r="266">
          <cell r="Z266" t="b">
            <v>0</v>
          </cell>
        </row>
        <row r="267">
          <cell r="Z267" t="b">
            <v>0</v>
          </cell>
        </row>
        <row r="268">
          <cell r="Z268" t="b">
            <v>0</v>
          </cell>
        </row>
        <row r="269">
          <cell r="Z269" t="b">
            <v>0</v>
          </cell>
        </row>
        <row r="270">
          <cell r="Z270" t="b">
            <v>0</v>
          </cell>
        </row>
        <row r="271">
          <cell r="Z271" t="b">
            <v>0</v>
          </cell>
        </row>
        <row r="272">
          <cell r="Z272" t="b">
            <v>0</v>
          </cell>
        </row>
        <row r="273">
          <cell r="Z273" t="b">
            <v>0</v>
          </cell>
        </row>
        <row r="274">
          <cell r="Z274" t="b">
            <v>0</v>
          </cell>
        </row>
        <row r="275">
          <cell r="Z275" t="b">
            <v>0</v>
          </cell>
        </row>
        <row r="276">
          <cell r="Z276" t="b">
            <v>0</v>
          </cell>
        </row>
        <row r="277">
          <cell r="Z277" t="b">
            <v>0</v>
          </cell>
        </row>
        <row r="278">
          <cell r="Z278" t="b">
            <v>0</v>
          </cell>
        </row>
        <row r="279">
          <cell r="Z279" t="b">
            <v>0</v>
          </cell>
        </row>
        <row r="280">
          <cell r="Z280" t="b">
            <v>0</v>
          </cell>
        </row>
        <row r="281">
          <cell r="Z281" t="b">
            <v>0</v>
          </cell>
        </row>
        <row r="282">
          <cell r="Z282" t="b">
            <v>0</v>
          </cell>
        </row>
        <row r="283">
          <cell r="Z283" t="b">
            <v>0</v>
          </cell>
        </row>
        <row r="284">
          <cell r="Z284" t="b">
            <v>0</v>
          </cell>
        </row>
        <row r="285">
          <cell r="Z285" t="b">
            <v>0</v>
          </cell>
        </row>
        <row r="286">
          <cell r="Z286" t="b">
            <v>0</v>
          </cell>
        </row>
        <row r="287">
          <cell r="Z287" t="b">
            <v>0</v>
          </cell>
        </row>
        <row r="288">
          <cell r="Z288" t="b">
            <v>0</v>
          </cell>
        </row>
        <row r="289">
          <cell r="Z289" t="b">
            <v>0</v>
          </cell>
        </row>
        <row r="290">
          <cell r="Z290" t="b">
            <v>0</v>
          </cell>
        </row>
        <row r="291">
          <cell r="Z291" t="b">
            <v>0</v>
          </cell>
        </row>
        <row r="292">
          <cell r="Z292" t="b">
            <v>0</v>
          </cell>
        </row>
        <row r="293">
          <cell r="Z293" t="b">
            <v>0</v>
          </cell>
        </row>
        <row r="294">
          <cell r="Z294" t="b">
            <v>0</v>
          </cell>
        </row>
        <row r="295">
          <cell r="Z295" t="b">
            <v>0</v>
          </cell>
        </row>
        <row r="296">
          <cell r="Z296" t="b">
            <v>0</v>
          </cell>
        </row>
        <row r="297">
          <cell r="Z297" t="b">
            <v>0</v>
          </cell>
        </row>
        <row r="298">
          <cell r="Z298" t="b">
            <v>0</v>
          </cell>
        </row>
        <row r="299">
          <cell r="Z299" t="b">
            <v>0</v>
          </cell>
        </row>
        <row r="300">
          <cell r="Z300" t="b">
            <v>0</v>
          </cell>
        </row>
        <row r="301">
          <cell r="Z301" t="b">
            <v>0</v>
          </cell>
        </row>
        <row r="302">
          <cell r="Z302" t="b">
            <v>0</v>
          </cell>
        </row>
        <row r="303">
          <cell r="Z303" t="b">
            <v>0</v>
          </cell>
        </row>
        <row r="304">
          <cell r="Z304" t="b">
            <v>0</v>
          </cell>
        </row>
        <row r="305">
          <cell r="Z305" t="b">
            <v>0</v>
          </cell>
        </row>
        <row r="306">
          <cell r="Z306" t="b">
            <v>0</v>
          </cell>
        </row>
        <row r="307">
          <cell r="Z307" t="b">
            <v>0</v>
          </cell>
        </row>
        <row r="308">
          <cell r="Z308" t="b">
            <v>0</v>
          </cell>
        </row>
        <row r="309">
          <cell r="Z309" t="b">
            <v>0</v>
          </cell>
        </row>
        <row r="310">
          <cell r="Z310" t="b">
            <v>0</v>
          </cell>
        </row>
        <row r="311">
          <cell r="Z311" t="b">
            <v>0</v>
          </cell>
        </row>
        <row r="312">
          <cell r="Z312" t="b">
            <v>0</v>
          </cell>
        </row>
        <row r="313">
          <cell r="Z313" t="b">
            <v>0</v>
          </cell>
        </row>
        <row r="314">
          <cell r="Z314" t="b">
            <v>0</v>
          </cell>
        </row>
        <row r="315">
          <cell r="Z315" t="b">
            <v>0</v>
          </cell>
        </row>
        <row r="316">
          <cell r="Z316" t="b">
            <v>0</v>
          </cell>
        </row>
        <row r="317">
          <cell r="Z317" t="b">
            <v>0</v>
          </cell>
        </row>
        <row r="318">
          <cell r="Z318" t="b">
            <v>0</v>
          </cell>
        </row>
        <row r="319">
          <cell r="Z319" t="b">
            <v>0</v>
          </cell>
        </row>
        <row r="320">
          <cell r="Z320" t="b">
            <v>0</v>
          </cell>
        </row>
        <row r="321">
          <cell r="Z321" t="b">
            <v>0</v>
          </cell>
        </row>
        <row r="322">
          <cell r="Z322" t="b">
            <v>0</v>
          </cell>
        </row>
        <row r="323">
          <cell r="Z323" t="b">
            <v>0</v>
          </cell>
        </row>
        <row r="324">
          <cell r="Z324" t="b">
            <v>0</v>
          </cell>
        </row>
        <row r="325">
          <cell r="Z325" t="b">
            <v>0</v>
          </cell>
        </row>
        <row r="326">
          <cell r="Z326" t="b">
            <v>0</v>
          </cell>
        </row>
        <row r="327">
          <cell r="Z327" t="b">
            <v>0</v>
          </cell>
        </row>
        <row r="328">
          <cell r="Z328" t="b">
            <v>0</v>
          </cell>
        </row>
        <row r="329">
          <cell r="Z329" t="b">
            <v>0</v>
          </cell>
        </row>
        <row r="330">
          <cell r="Z330" t="b">
            <v>0</v>
          </cell>
        </row>
        <row r="331">
          <cell r="Z331" t="b">
            <v>0</v>
          </cell>
        </row>
        <row r="332">
          <cell r="Z332" t="b">
            <v>0</v>
          </cell>
        </row>
        <row r="333">
          <cell r="Z333" t="b">
            <v>0</v>
          </cell>
        </row>
        <row r="334">
          <cell r="Z334" t="b">
            <v>0</v>
          </cell>
        </row>
        <row r="335">
          <cell r="Z335" t="b">
            <v>0</v>
          </cell>
        </row>
        <row r="336">
          <cell r="Z336" t="b">
            <v>0</v>
          </cell>
        </row>
        <row r="337">
          <cell r="Z337" t="b">
            <v>0</v>
          </cell>
        </row>
        <row r="338">
          <cell r="Z338" t="b">
            <v>0</v>
          </cell>
        </row>
        <row r="339">
          <cell r="Z339" t="b">
            <v>0</v>
          </cell>
        </row>
        <row r="340">
          <cell r="Z340" t="b">
            <v>0</v>
          </cell>
        </row>
        <row r="341">
          <cell r="Z341" t="b">
            <v>0</v>
          </cell>
        </row>
        <row r="342">
          <cell r="Z342" t="b">
            <v>0</v>
          </cell>
        </row>
        <row r="343">
          <cell r="Z343" t="b">
            <v>0</v>
          </cell>
        </row>
        <row r="344">
          <cell r="Z344" t="b">
            <v>0</v>
          </cell>
        </row>
        <row r="345">
          <cell r="Z345" t="b">
            <v>0</v>
          </cell>
        </row>
        <row r="346">
          <cell r="Z346" t="b">
            <v>0</v>
          </cell>
        </row>
        <row r="347">
          <cell r="Z347" t="b">
            <v>0</v>
          </cell>
        </row>
        <row r="348">
          <cell r="Z348" t="b">
            <v>0</v>
          </cell>
        </row>
        <row r="349">
          <cell r="Z349" t="b">
            <v>0</v>
          </cell>
        </row>
        <row r="350">
          <cell r="Z350" t="b">
            <v>0</v>
          </cell>
        </row>
        <row r="351">
          <cell r="Z351" t="b">
            <v>0</v>
          </cell>
        </row>
        <row r="352">
          <cell r="Z352" t="b">
            <v>0</v>
          </cell>
        </row>
        <row r="353">
          <cell r="Z353" t="b">
            <v>0</v>
          </cell>
        </row>
        <row r="354">
          <cell r="Z354" t="b">
            <v>0</v>
          </cell>
        </row>
        <row r="355">
          <cell r="Z355" t="b">
            <v>0</v>
          </cell>
        </row>
        <row r="356">
          <cell r="Z356" t="b">
            <v>0</v>
          </cell>
        </row>
        <row r="357">
          <cell r="Z357" t="b">
            <v>0</v>
          </cell>
        </row>
        <row r="358">
          <cell r="Z358" t="b">
            <v>0</v>
          </cell>
        </row>
        <row r="359">
          <cell r="Z359" t="b">
            <v>0</v>
          </cell>
        </row>
        <row r="360">
          <cell r="Z360" t="b">
            <v>0</v>
          </cell>
        </row>
        <row r="361">
          <cell r="Z361" t="b">
            <v>0</v>
          </cell>
        </row>
        <row r="362">
          <cell r="Z362" t="b">
            <v>0</v>
          </cell>
        </row>
        <row r="363">
          <cell r="Z363" t="b">
            <v>0</v>
          </cell>
        </row>
        <row r="364">
          <cell r="Z364" t="b">
            <v>0</v>
          </cell>
        </row>
        <row r="365">
          <cell r="Z365" t="b">
            <v>0</v>
          </cell>
        </row>
        <row r="366">
          <cell r="Z366" t="b">
            <v>0</v>
          </cell>
        </row>
        <row r="367">
          <cell r="Z367" t="b">
            <v>0</v>
          </cell>
        </row>
        <row r="368">
          <cell r="Z368" t="b">
            <v>0</v>
          </cell>
        </row>
        <row r="369">
          <cell r="Z369" t="b">
            <v>0</v>
          </cell>
        </row>
        <row r="370">
          <cell r="Z370" t="b">
            <v>0</v>
          </cell>
        </row>
        <row r="371">
          <cell r="Z371" t="b">
            <v>0</v>
          </cell>
        </row>
        <row r="372">
          <cell r="Z372" t="b">
            <v>0</v>
          </cell>
        </row>
        <row r="373">
          <cell r="Z373" t="b">
            <v>0</v>
          </cell>
        </row>
        <row r="374">
          <cell r="Z374" t="b">
            <v>0</v>
          </cell>
        </row>
        <row r="375">
          <cell r="Z375" t="b">
            <v>0</v>
          </cell>
        </row>
        <row r="376">
          <cell r="Z376" t="b">
            <v>0</v>
          </cell>
        </row>
        <row r="377">
          <cell r="Z377" t="b">
            <v>0</v>
          </cell>
        </row>
        <row r="378">
          <cell r="Z378" t="b">
            <v>0</v>
          </cell>
        </row>
        <row r="379">
          <cell r="Z379" t="b">
            <v>0</v>
          </cell>
        </row>
        <row r="380">
          <cell r="Z380" t="b">
            <v>0</v>
          </cell>
        </row>
        <row r="381">
          <cell r="Z381" t="b">
            <v>0</v>
          </cell>
        </row>
        <row r="382">
          <cell r="Z382" t="b">
            <v>0</v>
          </cell>
        </row>
        <row r="383">
          <cell r="Z383" t="b">
            <v>0</v>
          </cell>
        </row>
        <row r="384">
          <cell r="Z384" t="b">
            <v>0</v>
          </cell>
        </row>
        <row r="385">
          <cell r="Z385" t="b">
            <v>0</v>
          </cell>
        </row>
        <row r="386">
          <cell r="Z386" t="b">
            <v>0</v>
          </cell>
        </row>
        <row r="387">
          <cell r="Z387" t="b">
            <v>0</v>
          </cell>
        </row>
        <row r="388">
          <cell r="Z388" t="b">
            <v>0</v>
          </cell>
        </row>
        <row r="389">
          <cell r="Z389" t="b">
            <v>0</v>
          </cell>
        </row>
        <row r="390">
          <cell r="Z390" t="b">
            <v>0</v>
          </cell>
        </row>
        <row r="391">
          <cell r="Z391" t="b">
            <v>0</v>
          </cell>
        </row>
        <row r="392">
          <cell r="Z392" t="b">
            <v>0</v>
          </cell>
        </row>
        <row r="393">
          <cell r="Z393" t="b">
            <v>0</v>
          </cell>
        </row>
        <row r="394">
          <cell r="Z394" t="b">
            <v>0</v>
          </cell>
        </row>
        <row r="395">
          <cell r="Z395" t="b">
            <v>0</v>
          </cell>
        </row>
        <row r="396">
          <cell r="Z396" t="b">
            <v>0</v>
          </cell>
        </row>
        <row r="397">
          <cell r="Z397" t="b">
            <v>0</v>
          </cell>
        </row>
        <row r="398">
          <cell r="Z398" t="b">
            <v>0</v>
          </cell>
        </row>
        <row r="399">
          <cell r="Z399" t="b">
            <v>0</v>
          </cell>
        </row>
        <row r="400">
          <cell r="Z400" t="b">
            <v>0</v>
          </cell>
        </row>
        <row r="401">
          <cell r="Z401" t="b">
            <v>0</v>
          </cell>
        </row>
        <row r="402">
          <cell r="Z402" t="b">
            <v>0</v>
          </cell>
        </row>
        <row r="403">
          <cell r="Z403" t="b">
            <v>0</v>
          </cell>
        </row>
        <row r="404">
          <cell r="Z404" t="b">
            <v>0</v>
          </cell>
        </row>
        <row r="405">
          <cell r="Z405" t="b">
            <v>0</v>
          </cell>
        </row>
        <row r="406">
          <cell r="Z406" t="b">
            <v>0</v>
          </cell>
        </row>
        <row r="407">
          <cell r="Z407" t="b">
            <v>0</v>
          </cell>
        </row>
        <row r="408">
          <cell r="Z408" t="b">
            <v>0</v>
          </cell>
        </row>
        <row r="409">
          <cell r="Z409" t="b">
            <v>0</v>
          </cell>
        </row>
        <row r="410">
          <cell r="Z410" t="b">
            <v>0</v>
          </cell>
        </row>
        <row r="411">
          <cell r="Z411" t="b">
            <v>0</v>
          </cell>
        </row>
        <row r="412">
          <cell r="Z412" t="b">
            <v>0</v>
          </cell>
        </row>
        <row r="413">
          <cell r="Z413" t="b">
            <v>0</v>
          </cell>
        </row>
        <row r="414">
          <cell r="Z414" t="b">
            <v>0</v>
          </cell>
        </row>
        <row r="415">
          <cell r="Z415" t="b">
            <v>0</v>
          </cell>
        </row>
        <row r="416">
          <cell r="Z416" t="b">
            <v>0</v>
          </cell>
        </row>
        <row r="417">
          <cell r="Z417" t="b">
            <v>0</v>
          </cell>
        </row>
        <row r="418">
          <cell r="Z418" t="b">
            <v>0</v>
          </cell>
        </row>
        <row r="419">
          <cell r="Z419" t="b">
            <v>0</v>
          </cell>
        </row>
        <row r="420">
          <cell r="Z420" t="b">
            <v>0</v>
          </cell>
        </row>
        <row r="421">
          <cell r="Z421" t="b">
            <v>0</v>
          </cell>
        </row>
        <row r="422">
          <cell r="Z422" t="b">
            <v>0</v>
          </cell>
        </row>
        <row r="423">
          <cell r="Z423" t="b">
            <v>0</v>
          </cell>
        </row>
        <row r="424">
          <cell r="Z424" t="b">
            <v>0</v>
          </cell>
        </row>
        <row r="425">
          <cell r="Z425" t="b">
            <v>0</v>
          </cell>
        </row>
        <row r="426">
          <cell r="Z426" t="b">
            <v>0</v>
          </cell>
        </row>
        <row r="427">
          <cell r="Z427" t="b">
            <v>0</v>
          </cell>
        </row>
        <row r="428">
          <cell r="Z428" t="b">
            <v>0</v>
          </cell>
        </row>
        <row r="429">
          <cell r="Z429" t="b">
            <v>0</v>
          </cell>
        </row>
        <row r="430">
          <cell r="Z430" t="b">
            <v>0</v>
          </cell>
        </row>
        <row r="431">
          <cell r="Z431" t="b">
            <v>0</v>
          </cell>
        </row>
        <row r="432">
          <cell r="Z432" t="b">
            <v>0</v>
          </cell>
        </row>
        <row r="433">
          <cell r="Z433" t="b">
            <v>0</v>
          </cell>
        </row>
        <row r="434">
          <cell r="Z434" t="b">
            <v>0</v>
          </cell>
        </row>
        <row r="435">
          <cell r="Z435" t="b">
            <v>0</v>
          </cell>
        </row>
        <row r="436">
          <cell r="Z436" t="b">
            <v>0</v>
          </cell>
        </row>
        <row r="437">
          <cell r="Z437" t="b">
            <v>0</v>
          </cell>
        </row>
        <row r="438">
          <cell r="Z438" t="b">
            <v>0</v>
          </cell>
        </row>
        <row r="439">
          <cell r="Z439" t="b">
            <v>0</v>
          </cell>
        </row>
        <row r="440">
          <cell r="Z440" t="b">
            <v>0</v>
          </cell>
        </row>
        <row r="441">
          <cell r="Z441" t="b">
            <v>0</v>
          </cell>
        </row>
        <row r="442">
          <cell r="Z442" t="b">
            <v>0</v>
          </cell>
        </row>
        <row r="443">
          <cell r="Z443" t="b">
            <v>0</v>
          </cell>
        </row>
        <row r="444">
          <cell r="Z444" t="b">
            <v>0</v>
          </cell>
        </row>
        <row r="445">
          <cell r="Z445" t="b">
            <v>0</v>
          </cell>
        </row>
        <row r="446">
          <cell r="Z446" t="b">
            <v>0</v>
          </cell>
        </row>
        <row r="447">
          <cell r="Z447" t="b">
            <v>0</v>
          </cell>
        </row>
        <row r="448">
          <cell r="Z448" t="b">
            <v>0</v>
          </cell>
        </row>
        <row r="449">
          <cell r="Z449" t="b">
            <v>0</v>
          </cell>
        </row>
        <row r="450">
          <cell r="Z450" t="b">
            <v>0</v>
          </cell>
        </row>
        <row r="451">
          <cell r="Z451" t="b">
            <v>0</v>
          </cell>
        </row>
        <row r="452">
          <cell r="Z452" t="b">
            <v>0</v>
          </cell>
        </row>
        <row r="453">
          <cell r="Z453" t="b">
            <v>0</v>
          </cell>
        </row>
        <row r="454">
          <cell r="Z454" t="b">
            <v>0</v>
          </cell>
        </row>
        <row r="455">
          <cell r="Z455" t="b">
            <v>0</v>
          </cell>
        </row>
        <row r="456">
          <cell r="Z456" t="b">
            <v>0</v>
          </cell>
        </row>
        <row r="457">
          <cell r="Z457" t="b">
            <v>0</v>
          </cell>
        </row>
        <row r="458">
          <cell r="Z458" t="b">
            <v>0</v>
          </cell>
        </row>
        <row r="459">
          <cell r="Z459" t="b">
            <v>0</v>
          </cell>
        </row>
        <row r="460">
          <cell r="Z460" t="b">
            <v>0</v>
          </cell>
        </row>
        <row r="461">
          <cell r="Z461" t="b">
            <v>0</v>
          </cell>
        </row>
        <row r="462">
          <cell r="Z462" t="b">
            <v>0</v>
          </cell>
        </row>
        <row r="463">
          <cell r="Z463" t="b">
            <v>0</v>
          </cell>
        </row>
        <row r="464">
          <cell r="Z464" t="b">
            <v>0</v>
          </cell>
        </row>
        <row r="465">
          <cell r="Z465" t="b">
            <v>0</v>
          </cell>
        </row>
        <row r="466">
          <cell r="Z466" t="b">
            <v>0</v>
          </cell>
        </row>
        <row r="467">
          <cell r="Z467" t="b">
            <v>0</v>
          </cell>
        </row>
        <row r="468">
          <cell r="Z468" t="b">
            <v>0</v>
          </cell>
        </row>
        <row r="469">
          <cell r="Z469" t="b">
            <v>0</v>
          </cell>
        </row>
        <row r="470">
          <cell r="Z470" t="b">
            <v>0</v>
          </cell>
        </row>
        <row r="471">
          <cell r="Z471" t="b">
            <v>0</v>
          </cell>
        </row>
        <row r="472">
          <cell r="Z472" t="b">
            <v>0</v>
          </cell>
        </row>
        <row r="473">
          <cell r="Z473" t="b">
            <v>0</v>
          </cell>
        </row>
        <row r="474">
          <cell r="Z474" t="b">
            <v>0</v>
          </cell>
        </row>
        <row r="475">
          <cell r="Z475" t="b">
            <v>0</v>
          </cell>
        </row>
        <row r="476">
          <cell r="Z476" t="b">
            <v>0</v>
          </cell>
        </row>
        <row r="477">
          <cell r="Z477" t="b">
            <v>0</v>
          </cell>
        </row>
        <row r="478">
          <cell r="Z478" t="b">
            <v>0</v>
          </cell>
        </row>
        <row r="479">
          <cell r="Z479" t="b">
            <v>0</v>
          </cell>
        </row>
        <row r="480">
          <cell r="Z480" t="b">
            <v>0</v>
          </cell>
        </row>
        <row r="481">
          <cell r="Z481" t="b">
            <v>0</v>
          </cell>
        </row>
        <row r="482">
          <cell r="Z482" t="b">
            <v>0</v>
          </cell>
        </row>
        <row r="483">
          <cell r="Z483" t="b">
            <v>0</v>
          </cell>
        </row>
        <row r="484">
          <cell r="Z484" t="b">
            <v>0</v>
          </cell>
        </row>
        <row r="485">
          <cell r="Z485" t="b">
            <v>0</v>
          </cell>
        </row>
        <row r="486">
          <cell r="Z486" t="b">
            <v>0</v>
          </cell>
        </row>
        <row r="487">
          <cell r="Z487" t="b">
            <v>0</v>
          </cell>
        </row>
        <row r="488">
          <cell r="Z488" t="b">
            <v>0</v>
          </cell>
        </row>
        <row r="489">
          <cell r="Z489" t="b">
            <v>0</v>
          </cell>
        </row>
        <row r="490">
          <cell r="Z490" t="b">
            <v>0</v>
          </cell>
        </row>
        <row r="491">
          <cell r="Z491" t="b">
            <v>0</v>
          </cell>
        </row>
        <row r="492">
          <cell r="Z492" t="b">
            <v>0</v>
          </cell>
        </row>
        <row r="493">
          <cell r="Z493" t="b">
            <v>0</v>
          </cell>
        </row>
        <row r="494">
          <cell r="Z494" t="b">
            <v>0</v>
          </cell>
        </row>
        <row r="495">
          <cell r="Z495" t="b">
            <v>0</v>
          </cell>
        </row>
        <row r="496">
          <cell r="Z496" t="b">
            <v>0</v>
          </cell>
        </row>
        <row r="497">
          <cell r="Z497" t="b">
            <v>0</v>
          </cell>
        </row>
        <row r="498">
          <cell r="Z498" t="b">
            <v>0</v>
          </cell>
        </row>
        <row r="499">
          <cell r="Z499" t="b">
            <v>0</v>
          </cell>
        </row>
        <row r="500">
          <cell r="Z500" t="b">
            <v>0</v>
          </cell>
        </row>
        <row r="501">
          <cell r="Z501" t="b">
            <v>0</v>
          </cell>
        </row>
        <row r="502">
          <cell r="Z502" t="b">
            <v>0</v>
          </cell>
        </row>
        <row r="503">
          <cell r="Z503" t="b">
            <v>0</v>
          </cell>
        </row>
        <row r="504">
          <cell r="Z504" t="b">
            <v>0</v>
          </cell>
        </row>
        <row r="505">
          <cell r="Z505" t="b">
            <v>0</v>
          </cell>
        </row>
        <row r="506">
          <cell r="Z506" t="b">
            <v>0</v>
          </cell>
        </row>
        <row r="507">
          <cell r="Z507" t="b">
            <v>0</v>
          </cell>
        </row>
        <row r="508">
          <cell r="Z508" t="b">
            <v>0</v>
          </cell>
        </row>
        <row r="509">
          <cell r="Z509" t="b">
            <v>0</v>
          </cell>
        </row>
        <row r="510">
          <cell r="Z510" t="b">
            <v>0</v>
          </cell>
        </row>
        <row r="511">
          <cell r="Z511" t="b">
            <v>0</v>
          </cell>
        </row>
        <row r="512">
          <cell r="Z512" t="b">
            <v>0</v>
          </cell>
        </row>
        <row r="513">
          <cell r="Z513" t="b">
            <v>0</v>
          </cell>
        </row>
        <row r="514">
          <cell r="Z514" t="b">
            <v>0</v>
          </cell>
        </row>
        <row r="515">
          <cell r="Z515" t="b">
            <v>0</v>
          </cell>
        </row>
        <row r="516">
          <cell r="Z516" t="b">
            <v>0</v>
          </cell>
        </row>
        <row r="517">
          <cell r="Z517" t="b">
            <v>0</v>
          </cell>
        </row>
        <row r="518">
          <cell r="Z518" t="b">
            <v>0</v>
          </cell>
        </row>
        <row r="519">
          <cell r="Z519" t="b">
            <v>0</v>
          </cell>
        </row>
        <row r="520">
          <cell r="Z520" t="b">
            <v>0</v>
          </cell>
        </row>
        <row r="521">
          <cell r="Z521" t="b">
            <v>0</v>
          </cell>
        </row>
        <row r="522">
          <cell r="Z522" t="b">
            <v>0</v>
          </cell>
        </row>
        <row r="523">
          <cell r="Z523" t="b">
            <v>0</v>
          </cell>
        </row>
        <row r="524">
          <cell r="Z524" t="b">
            <v>0</v>
          </cell>
        </row>
        <row r="525">
          <cell r="Z525" t="b">
            <v>0</v>
          </cell>
        </row>
        <row r="526">
          <cell r="Z526" t="b">
            <v>0</v>
          </cell>
        </row>
        <row r="527">
          <cell r="Z527" t="b">
            <v>0</v>
          </cell>
        </row>
        <row r="528">
          <cell r="Z528" t="b">
            <v>0</v>
          </cell>
        </row>
        <row r="529">
          <cell r="Z529" t="b">
            <v>0</v>
          </cell>
        </row>
        <row r="530">
          <cell r="Z530" t="b">
            <v>0</v>
          </cell>
        </row>
        <row r="531">
          <cell r="Z531" t="b">
            <v>0</v>
          </cell>
        </row>
        <row r="532">
          <cell r="Z532" t="b">
            <v>0</v>
          </cell>
        </row>
        <row r="533">
          <cell r="Z533" t="b">
            <v>0</v>
          </cell>
        </row>
        <row r="534">
          <cell r="Z534" t="b">
            <v>0</v>
          </cell>
        </row>
        <row r="535">
          <cell r="Z535" t="b">
            <v>0</v>
          </cell>
        </row>
        <row r="536">
          <cell r="Z536" t="b">
            <v>0</v>
          </cell>
        </row>
        <row r="537">
          <cell r="Z537" t="b">
            <v>0</v>
          </cell>
        </row>
        <row r="538">
          <cell r="Z538" t="b">
            <v>0</v>
          </cell>
        </row>
        <row r="539">
          <cell r="Z539" t="b">
            <v>0</v>
          </cell>
        </row>
        <row r="540">
          <cell r="Z540" t="b">
            <v>0</v>
          </cell>
        </row>
        <row r="541">
          <cell r="Z541" t="b">
            <v>0</v>
          </cell>
        </row>
        <row r="542">
          <cell r="Z542" t="b">
            <v>0</v>
          </cell>
        </row>
        <row r="543">
          <cell r="Z543" t="b">
            <v>0</v>
          </cell>
        </row>
        <row r="544">
          <cell r="Z544" t="b">
            <v>0</v>
          </cell>
        </row>
        <row r="545">
          <cell r="Z545" t="b">
            <v>0</v>
          </cell>
        </row>
        <row r="546">
          <cell r="Z546" t="b">
            <v>0</v>
          </cell>
        </row>
        <row r="547">
          <cell r="Z547" t="b">
            <v>0</v>
          </cell>
        </row>
        <row r="548">
          <cell r="Z548" t="b">
            <v>0</v>
          </cell>
        </row>
        <row r="549">
          <cell r="Z549" t="b">
            <v>0</v>
          </cell>
        </row>
        <row r="550">
          <cell r="Z550" t="b">
            <v>0</v>
          </cell>
        </row>
        <row r="551">
          <cell r="Z551" t="b">
            <v>0</v>
          </cell>
        </row>
        <row r="552">
          <cell r="Z552" t="b">
            <v>0</v>
          </cell>
        </row>
        <row r="553">
          <cell r="Z553" t="b">
            <v>0</v>
          </cell>
        </row>
        <row r="554">
          <cell r="Z554" t="b">
            <v>0</v>
          </cell>
        </row>
        <row r="555">
          <cell r="Z555" t="b">
            <v>0</v>
          </cell>
        </row>
        <row r="556">
          <cell r="Z556" t="b">
            <v>0</v>
          </cell>
        </row>
        <row r="557">
          <cell r="Z557" t="b">
            <v>0</v>
          </cell>
        </row>
        <row r="558">
          <cell r="Z558" t="b">
            <v>0</v>
          </cell>
        </row>
        <row r="559">
          <cell r="Z559" t="b">
            <v>0</v>
          </cell>
        </row>
        <row r="560">
          <cell r="Z560" t="b">
            <v>0</v>
          </cell>
        </row>
        <row r="561">
          <cell r="Z561" t="b">
            <v>0</v>
          </cell>
        </row>
        <row r="562">
          <cell r="Z562" t="b">
            <v>0</v>
          </cell>
        </row>
        <row r="563">
          <cell r="Z563" t="b">
            <v>0</v>
          </cell>
        </row>
        <row r="564">
          <cell r="Z564" t="b">
            <v>0</v>
          </cell>
        </row>
        <row r="565">
          <cell r="Z565" t="b">
            <v>0</v>
          </cell>
        </row>
        <row r="566">
          <cell r="Z566" t="b">
            <v>0</v>
          </cell>
        </row>
        <row r="567">
          <cell r="Z567" t="b">
            <v>0</v>
          </cell>
        </row>
        <row r="568">
          <cell r="Z568" t="b">
            <v>0</v>
          </cell>
        </row>
        <row r="569">
          <cell r="Z569" t="b">
            <v>0</v>
          </cell>
        </row>
        <row r="570">
          <cell r="Z570" t="b">
            <v>0</v>
          </cell>
        </row>
        <row r="571">
          <cell r="Z571" t="b">
            <v>0</v>
          </cell>
        </row>
        <row r="572">
          <cell r="Z572" t="b">
            <v>0</v>
          </cell>
        </row>
        <row r="573">
          <cell r="Z573" t="b">
            <v>0</v>
          </cell>
        </row>
        <row r="574">
          <cell r="Z574" t="b">
            <v>0</v>
          </cell>
        </row>
        <row r="575">
          <cell r="Z575" t="b">
            <v>0</v>
          </cell>
        </row>
        <row r="576">
          <cell r="Z576" t="b">
            <v>0</v>
          </cell>
        </row>
        <row r="577">
          <cell r="Z577" t="b">
            <v>0</v>
          </cell>
        </row>
        <row r="578">
          <cell r="Z578" t="b">
            <v>0</v>
          </cell>
        </row>
        <row r="579">
          <cell r="Z579" t="b">
            <v>0</v>
          </cell>
        </row>
        <row r="580">
          <cell r="Z580" t="b">
            <v>0</v>
          </cell>
        </row>
        <row r="581">
          <cell r="Z581" t="b">
            <v>0</v>
          </cell>
        </row>
        <row r="582">
          <cell r="Z582" t="b">
            <v>0</v>
          </cell>
        </row>
        <row r="583">
          <cell r="Z583" t="b">
            <v>0</v>
          </cell>
        </row>
        <row r="584">
          <cell r="Z584" t="b">
            <v>0</v>
          </cell>
        </row>
        <row r="585">
          <cell r="Z585" t="b">
            <v>0</v>
          </cell>
        </row>
        <row r="586">
          <cell r="Z586" t="b">
            <v>0</v>
          </cell>
        </row>
        <row r="587">
          <cell r="Z587" t="b">
            <v>0</v>
          </cell>
        </row>
        <row r="588">
          <cell r="Z588" t="b">
            <v>0</v>
          </cell>
        </row>
        <row r="589">
          <cell r="Z589" t="b">
            <v>0</v>
          </cell>
        </row>
        <row r="590">
          <cell r="Z590" t="b">
            <v>0</v>
          </cell>
        </row>
        <row r="591">
          <cell r="Z591" t="b">
            <v>0</v>
          </cell>
        </row>
        <row r="592">
          <cell r="Z592" t="b">
            <v>0</v>
          </cell>
        </row>
        <row r="593">
          <cell r="Z593" t="b">
            <v>0</v>
          </cell>
        </row>
        <row r="594">
          <cell r="Z594" t="b">
            <v>0</v>
          </cell>
        </row>
        <row r="595">
          <cell r="Z595" t="b">
            <v>0</v>
          </cell>
        </row>
        <row r="596">
          <cell r="Z596" t="b">
            <v>0</v>
          </cell>
        </row>
        <row r="597">
          <cell r="Z597" t="b">
            <v>0</v>
          </cell>
        </row>
        <row r="598">
          <cell r="Z598" t="b">
            <v>0</v>
          </cell>
        </row>
        <row r="599">
          <cell r="Z599" t="b">
            <v>0</v>
          </cell>
        </row>
        <row r="600">
          <cell r="Z600" t="b">
            <v>0</v>
          </cell>
        </row>
        <row r="601">
          <cell r="Z601" t="b">
            <v>0</v>
          </cell>
        </row>
        <row r="602">
          <cell r="Z602" t="b">
            <v>0</v>
          </cell>
        </row>
        <row r="603">
          <cell r="Z603" t="b">
            <v>0</v>
          </cell>
        </row>
        <row r="604">
          <cell r="Z604" t="b">
            <v>0</v>
          </cell>
        </row>
        <row r="605">
          <cell r="Z605" t="b">
            <v>0</v>
          </cell>
        </row>
        <row r="606">
          <cell r="Z606" t="b">
            <v>0</v>
          </cell>
        </row>
        <row r="607">
          <cell r="Z607" t="b">
            <v>0</v>
          </cell>
        </row>
        <row r="608">
          <cell r="Z608" t="b">
            <v>0</v>
          </cell>
        </row>
        <row r="609">
          <cell r="Z609" t="b">
            <v>0</v>
          </cell>
        </row>
        <row r="610">
          <cell r="Z610" t="b">
            <v>0</v>
          </cell>
        </row>
        <row r="611">
          <cell r="Z611" t="b">
            <v>0</v>
          </cell>
        </row>
        <row r="612">
          <cell r="Z612" t="b">
            <v>0</v>
          </cell>
        </row>
        <row r="613">
          <cell r="Z613" t="b">
            <v>0</v>
          </cell>
        </row>
        <row r="614">
          <cell r="Z614" t="b">
            <v>0</v>
          </cell>
        </row>
        <row r="615">
          <cell r="Z615" t="b">
            <v>0</v>
          </cell>
        </row>
        <row r="616">
          <cell r="Z616" t="b">
            <v>0</v>
          </cell>
        </row>
        <row r="617">
          <cell r="Z617" t="b">
            <v>0</v>
          </cell>
        </row>
        <row r="618">
          <cell r="Z618" t="b">
            <v>0</v>
          </cell>
        </row>
        <row r="619">
          <cell r="Z619" t="b">
            <v>0</v>
          </cell>
        </row>
        <row r="620">
          <cell r="Z620" t="b">
            <v>0</v>
          </cell>
        </row>
        <row r="621">
          <cell r="Z621" t="b">
            <v>0</v>
          </cell>
        </row>
        <row r="622">
          <cell r="Z622" t="b">
            <v>0</v>
          </cell>
        </row>
        <row r="623">
          <cell r="Z623" t="b">
            <v>0</v>
          </cell>
        </row>
        <row r="624">
          <cell r="Z624" t="b">
            <v>0</v>
          </cell>
        </row>
        <row r="625">
          <cell r="Z625" t="b">
            <v>0</v>
          </cell>
        </row>
        <row r="626">
          <cell r="Z626" t="b">
            <v>0</v>
          </cell>
        </row>
        <row r="627">
          <cell r="Z627" t="b">
            <v>0</v>
          </cell>
        </row>
        <row r="628">
          <cell r="Z628" t="b">
            <v>0</v>
          </cell>
        </row>
        <row r="629">
          <cell r="Z629" t="b">
            <v>0</v>
          </cell>
        </row>
        <row r="630">
          <cell r="Z630" t="b">
            <v>0</v>
          </cell>
        </row>
        <row r="631">
          <cell r="Z631" t="b">
            <v>0</v>
          </cell>
        </row>
        <row r="632">
          <cell r="Z632" t="b">
            <v>0</v>
          </cell>
        </row>
        <row r="633">
          <cell r="Z633" t="b">
            <v>0</v>
          </cell>
        </row>
        <row r="634">
          <cell r="Z634" t="b">
            <v>0</v>
          </cell>
        </row>
        <row r="635">
          <cell r="Z635" t="b">
            <v>0</v>
          </cell>
        </row>
        <row r="636">
          <cell r="Z636" t="b">
            <v>0</v>
          </cell>
        </row>
        <row r="637">
          <cell r="Z637" t="b">
            <v>0</v>
          </cell>
        </row>
        <row r="638">
          <cell r="Z638" t="b">
            <v>0</v>
          </cell>
        </row>
        <row r="639">
          <cell r="Z639" t="b">
            <v>0</v>
          </cell>
        </row>
        <row r="640">
          <cell r="Z640" t="b">
            <v>0</v>
          </cell>
        </row>
        <row r="641">
          <cell r="Z641" t="b">
            <v>0</v>
          </cell>
        </row>
        <row r="642">
          <cell r="Z642" t="b">
            <v>0</v>
          </cell>
        </row>
        <row r="643">
          <cell r="Z643" t="b">
            <v>0</v>
          </cell>
        </row>
        <row r="644">
          <cell r="Z644" t="b">
            <v>0</v>
          </cell>
        </row>
        <row r="645">
          <cell r="Z645" t="b">
            <v>0</v>
          </cell>
        </row>
        <row r="646">
          <cell r="Z646" t="b">
            <v>0</v>
          </cell>
        </row>
        <row r="647">
          <cell r="Z647" t="b">
            <v>0</v>
          </cell>
        </row>
        <row r="648">
          <cell r="Z648" t="b">
            <v>0</v>
          </cell>
        </row>
        <row r="649">
          <cell r="Z649" t="b">
            <v>0</v>
          </cell>
        </row>
        <row r="650">
          <cell r="Z650" t="b">
            <v>0</v>
          </cell>
        </row>
        <row r="651">
          <cell r="Z651" t="b">
            <v>0</v>
          </cell>
        </row>
        <row r="652">
          <cell r="Z652" t="b">
            <v>0</v>
          </cell>
        </row>
        <row r="653">
          <cell r="Z653" t="b">
            <v>0</v>
          </cell>
        </row>
        <row r="654">
          <cell r="Z654" t="b">
            <v>0</v>
          </cell>
        </row>
        <row r="655">
          <cell r="Z655" t="b">
            <v>0</v>
          </cell>
        </row>
        <row r="656">
          <cell r="Z656" t="b">
            <v>0</v>
          </cell>
        </row>
        <row r="657">
          <cell r="Z657" t="b">
            <v>0</v>
          </cell>
        </row>
        <row r="658">
          <cell r="Z658" t="b">
            <v>0</v>
          </cell>
        </row>
        <row r="659">
          <cell r="Z659" t="b">
            <v>0</v>
          </cell>
        </row>
        <row r="660">
          <cell r="Z660" t="b">
            <v>0</v>
          </cell>
        </row>
        <row r="661">
          <cell r="Z661" t="b">
            <v>0</v>
          </cell>
        </row>
        <row r="662">
          <cell r="Z662" t="b">
            <v>0</v>
          </cell>
        </row>
        <row r="663">
          <cell r="Z663" t="b">
            <v>0</v>
          </cell>
        </row>
        <row r="664">
          <cell r="Z664" t="b">
            <v>0</v>
          </cell>
        </row>
        <row r="665">
          <cell r="Z665" t="b">
            <v>0</v>
          </cell>
        </row>
        <row r="666">
          <cell r="Z666" t="b">
            <v>0</v>
          </cell>
        </row>
        <row r="667">
          <cell r="Z667" t="b">
            <v>0</v>
          </cell>
        </row>
        <row r="668">
          <cell r="Z668" t="b">
            <v>0</v>
          </cell>
        </row>
        <row r="669">
          <cell r="Z669" t="b">
            <v>0</v>
          </cell>
        </row>
        <row r="670">
          <cell r="Z670" t="b">
            <v>0</v>
          </cell>
        </row>
        <row r="671">
          <cell r="Z671" t="b">
            <v>0</v>
          </cell>
        </row>
        <row r="672">
          <cell r="Z672" t="b">
            <v>0</v>
          </cell>
        </row>
        <row r="673">
          <cell r="Z673" t="b">
            <v>0</v>
          </cell>
        </row>
        <row r="674">
          <cell r="Z674" t="b">
            <v>0</v>
          </cell>
        </row>
        <row r="675">
          <cell r="Z675" t="b">
            <v>0</v>
          </cell>
        </row>
        <row r="676">
          <cell r="Z676" t="b">
            <v>0</v>
          </cell>
        </row>
        <row r="677">
          <cell r="Z677" t="b">
            <v>0</v>
          </cell>
        </row>
        <row r="678">
          <cell r="Z678" t="b">
            <v>0</v>
          </cell>
        </row>
        <row r="679">
          <cell r="Z679" t="b">
            <v>0</v>
          </cell>
        </row>
        <row r="680">
          <cell r="Z680" t="b">
            <v>0</v>
          </cell>
        </row>
        <row r="681">
          <cell r="Z681" t="b">
            <v>0</v>
          </cell>
        </row>
        <row r="682">
          <cell r="Z682" t="b">
            <v>0</v>
          </cell>
        </row>
        <row r="683">
          <cell r="Z683" t="b">
            <v>0</v>
          </cell>
        </row>
        <row r="684">
          <cell r="Z684" t="b">
            <v>0</v>
          </cell>
        </row>
        <row r="685">
          <cell r="Z685" t="b">
            <v>0</v>
          </cell>
        </row>
        <row r="686">
          <cell r="Z686" t="b">
            <v>0</v>
          </cell>
        </row>
        <row r="687">
          <cell r="Z687" t="b">
            <v>0</v>
          </cell>
        </row>
        <row r="688">
          <cell r="Z688" t="b">
            <v>0</v>
          </cell>
        </row>
        <row r="689">
          <cell r="Z689" t="b">
            <v>0</v>
          </cell>
        </row>
        <row r="690">
          <cell r="Z690" t="b">
            <v>0</v>
          </cell>
        </row>
        <row r="691">
          <cell r="Z691" t="b">
            <v>0</v>
          </cell>
        </row>
        <row r="692">
          <cell r="Z692" t="b">
            <v>0</v>
          </cell>
        </row>
        <row r="693">
          <cell r="Z693" t="b">
            <v>0</v>
          </cell>
        </row>
        <row r="694">
          <cell r="Z694" t="b">
            <v>0</v>
          </cell>
        </row>
        <row r="695">
          <cell r="Z695" t="b">
            <v>0</v>
          </cell>
        </row>
        <row r="696">
          <cell r="Z696" t="b">
            <v>0</v>
          </cell>
        </row>
        <row r="697">
          <cell r="Z697" t="b">
            <v>0</v>
          </cell>
        </row>
        <row r="698">
          <cell r="Z698" t="b">
            <v>0</v>
          </cell>
        </row>
        <row r="699">
          <cell r="Z699" t="b">
            <v>0</v>
          </cell>
        </row>
        <row r="700">
          <cell r="Z700" t="b">
            <v>0</v>
          </cell>
        </row>
        <row r="701">
          <cell r="Z701" t="b">
            <v>0</v>
          </cell>
        </row>
        <row r="702">
          <cell r="Z702" t="b">
            <v>0</v>
          </cell>
        </row>
        <row r="703">
          <cell r="Z703" t="b">
            <v>0</v>
          </cell>
        </row>
        <row r="704">
          <cell r="Z704" t="b">
            <v>0</v>
          </cell>
        </row>
        <row r="705">
          <cell r="Z705" t="b">
            <v>0</v>
          </cell>
        </row>
        <row r="706">
          <cell r="Z706" t="b">
            <v>0</v>
          </cell>
        </row>
        <row r="707">
          <cell r="Z707" t="b">
            <v>0</v>
          </cell>
        </row>
        <row r="708">
          <cell r="Z708" t="b">
            <v>0</v>
          </cell>
        </row>
        <row r="709">
          <cell r="Z709" t="b">
            <v>0</v>
          </cell>
        </row>
        <row r="710">
          <cell r="Z710" t="b">
            <v>0</v>
          </cell>
        </row>
        <row r="711">
          <cell r="Z711" t="b">
            <v>0</v>
          </cell>
        </row>
        <row r="712">
          <cell r="Z712" t="b">
            <v>0</v>
          </cell>
        </row>
        <row r="713">
          <cell r="Z713" t="b">
            <v>0</v>
          </cell>
        </row>
        <row r="714">
          <cell r="Z714" t="b">
            <v>0</v>
          </cell>
        </row>
        <row r="715">
          <cell r="Z715" t="b">
            <v>0</v>
          </cell>
        </row>
        <row r="716">
          <cell r="Z716" t="b">
            <v>0</v>
          </cell>
        </row>
        <row r="717">
          <cell r="Z717" t="b">
            <v>0</v>
          </cell>
        </row>
        <row r="718">
          <cell r="Z718" t="b">
            <v>0</v>
          </cell>
        </row>
        <row r="719">
          <cell r="Z719" t="b">
            <v>0</v>
          </cell>
        </row>
        <row r="720">
          <cell r="Z720" t="b">
            <v>0</v>
          </cell>
        </row>
        <row r="721">
          <cell r="Z721" t="b">
            <v>0</v>
          </cell>
        </row>
        <row r="722">
          <cell r="Z722" t="b">
            <v>0</v>
          </cell>
        </row>
        <row r="723">
          <cell r="Z723" t="b">
            <v>0</v>
          </cell>
        </row>
        <row r="724">
          <cell r="Z724" t="b">
            <v>0</v>
          </cell>
        </row>
        <row r="725">
          <cell r="Z725" t="b">
            <v>0</v>
          </cell>
        </row>
        <row r="726">
          <cell r="Z726" t="b">
            <v>0</v>
          </cell>
        </row>
        <row r="727">
          <cell r="Z727" t="b">
            <v>0</v>
          </cell>
        </row>
        <row r="728">
          <cell r="Z728" t="b">
            <v>0</v>
          </cell>
        </row>
        <row r="729">
          <cell r="Z729" t="b">
            <v>0</v>
          </cell>
        </row>
        <row r="730">
          <cell r="Z730" t="b">
            <v>0</v>
          </cell>
        </row>
        <row r="731">
          <cell r="Z731" t="b">
            <v>0</v>
          </cell>
        </row>
        <row r="732">
          <cell r="Z732" t="b">
            <v>0</v>
          </cell>
        </row>
        <row r="733">
          <cell r="Z733" t="b">
            <v>0</v>
          </cell>
        </row>
        <row r="734">
          <cell r="Z734" t="b">
            <v>0</v>
          </cell>
        </row>
        <row r="735">
          <cell r="Z735" t="b">
            <v>0</v>
          </cell>
        </row>
        <row r="736">
          <cell r="Z736" t="b">
            <v>0</v>
          </cell>
        </row>
        <row r="737">
          <cell r="Z737" t="b">
            <v>0</v>
          </cell>
        </row>
        <row r="738">
          <cell r="Z738" t="b">
            <v>0</v>
          </cell>
        </row>
        <row r="739">
          <cell r="Z739" t="b">
            <v>0</v>
          </cell>
        </row>
        <row r="740">
          <cell r="Z740" t="b">
            <v>0</v>
          </cell>
        </row>
        <row r="741">
          <cell r="Z741" t="b">
            <v>0</v>
          </cell>
        </row>
        <row r="742">
          <cell r="Z742" t="b">
            <v>0</v>
          </cell>
        </row>
        <row r="743">
          <cell r="Z743" t="b">
            <v>0</v>
          </cell>
        </row>
        <row r="744">
          <cell r="Z744" t="b">
            <v>0</v>
          </cell>
        </row>
        <row r="745">
          <cell r="Z745" t="b">
            <v>0</v>
          </cell>
        </row>
        <row r="746">
          <cell r="Z746" t="b">
            <v>0</v>
          </cell>
        </row>
        <row r="747">
          <cell r="Z747" t="b">
            <v>0</v>
          </cell>
        </row>
        <row r="748">
          <cell r="Z748" t="b">
            <v>0</v>
          </cell>
        </row>
        <row r="749">
          <cell r="Z749" t="b">
            <v>0</v>
          </cell>
        </row>
        <row r="750">
          <cell r="Z750" t="b">
            <v>0</v>
          </cell>
        </row>
        <row r="751">
          <cell r="Z751" t="b">
            <v>0</v>
          </cell>
        </row>
        <row r="752">
          <cell r="Z752" t="b">
            <v>0</v>
          </cell>
        </row>
        <row r="753">
          <cell r="Z753" t="b">
            <v>0</v>
          </cell>
        </row>
        <row r="754">
          <cell r="Z754" t="b">
            <v>0</v>
          </cell>
        </row>
        <row r="755">
          <cell r="Z755" t="b">
            <v>0</v>
          </cell>
        </row>
        <row r="756">
          <cell r="Z756" t="b">
            <v>0</v>
          </cell>
        </row>
        <row r="757">
          <cell r="Z757" t="b">
            <v>0</v>
          </cell>
        </row>
        <row r="758">
          <cell r="Z758" t="b">
            <v>0</v>
          </cell>
        </row>
        <row r="759">
          <cell r="Z759" t="b">
            <v>0</v>
          </cell>
        </row>
        <row r="760">
          <cell r="Z760" t="b">
            <v>0</v>
          </cell>
        </row>
        <row r="761">
          <cell r="Z761" t="b">
            <v>0</v>
          </cell>
        </row>
        <row r="762">
          <cell r="Z762" t="b">
            <v>0</v>
          </cell>
        </row>
        <row r="763">
          <cell r="Z763" t="b">
            <v>0</v>
          </cell>
        </row>
        <row r="764">
          <cell r="Z764" t="b">
            <v>0</v>
          </cell>
        </row>
        <row r="765">
          <cell r="Z765" t="b">
            <v>0</v>
          </cell>
        </row>
        <row r="766">
          <cell r="Z766" t="b">
            <v>0</v>
          </cell>
        </row>
        <row r="767">
          <cell r="Z767" t="b">
            <v>0</v>
          </cell>
        </row>
        <row r="768">
          <cell r="Z768" t="b">
            <v>0</v>
          </cell>
        </row>
        <row r="769">
          <cell r="Z769" t="b">
            <v>0</v>
          </cell>
        </row>
        <row r="770">
          <cell r="Z770" t="b">
            <v>0</v>
          </cell>
        </row>
        <row r="771">
          <cell r="Z771" t="b">
            <v>0</v>
          </cell>
        </row>
        <row r="772">
          <cell r="Z772" t="b">
            <v>0</v>
          </cell>
        </row>
        <row r="773">
          <cell r="Z773" t="b">
            <v>0</v>
          </cell>
        </row>
        <row r="774">
          <cell r="Z774" t="b">
            <v>0</v>
          </cell>
        </row>
        <row r="775">
          <cell r="Z775" t="b">
            <v>0</v>
          </cell>
        </row>
        <row r="776">
          <cell r="Z776" t="b">
            <v>0</v>
          </cell>
        </row>
        <row r="777">
          <cell r="Z777" t="b">
            <v>0</v>
          </cell>
        </row>
        <row r="778">
          <cell r="Z778" t="b">
            <v>0</v>
          </cell>
        </row>
        <row r="779">
          <cell r="Z779" t="b">
            <v>0</v>
          </cell>
        </row>
        <row r="780">
          <cell r="Z780" t="b">
            <v>0</v>
          </cell>
        </row>
        <row r="781">
          <cell r="Z781" t="b">
            <v>0</v>
          </cell>
        </row>
        <row r="782">
          <cell r="Z782" t="b">
            <v>0</v>
          </cell>
        </row>
        <row r="783">
          <cell r="Z783" t="b">
            <v>0</v>
          </cell>
        </row>
        <row r="784">
          <cell r="Z784" t="b">
            <v>0</v>
          </cell>
        </row>
        <row r="785">
          <cell r="Z785" t="b">
            <v>0</v>
          </cell>
        </row>
        <row r="786">
          <cell r="Z786" t="b">
            <v>0</v>
          </cell>
        </row>
        <row r="787">
          <cell r="Z787" t="b">
            <v>0</v>
          </cell>
        </row>
        <row r="788">
          <cell r="Z788" t="b">
            <v>0</v>
          </cell>
        </row>
        <row r="789">
          <cell r="Z789" t="b">
            <v>0</v>
          </cell>
        </row>
        <row r="790">
          <cell r="Z790" t="b">
            <v>0</v>
          </cell>
        </row>
        <row r="791">
          <cell r="Z791" t="b">
            <v>0</v>
          </cell>
        </row>
        <row r="792">
          <cell r="Z792" t="b">
            <v>0</v>
          </cell>
        </row>
        <row r="793">
          <cell r="Z793" t="b">
            <v>0</v>
          </cell>
        </row>
        <row r="794">
          <cell r="Z794" t="b">
            <v>0</v>
          </cell>
        </row>
        <row r="795">
          <cell r="Z795" t="b">
            <v>0</v>
          </cell>
        </row>
        <row r="796">
          <cell r="Z796" t="b">
            <v>0</v>
          </cell>
        </row>
        <row r="797">
          <cell r="Z797" t="b">
            <v>0</v>
          </cell>
        </row>
        <row r="798">
          <cell r="Z798" t="b">
            <v>0</v>
          </cell>
        </row>
        <row r="799">
          <cell r="Z799" t="b">
            <v>0</v>
          </cell>
        </row>
        <row r="800">
          <cell r="Z800" t="b">
            <v>0</v>
          </cell>
        </row>
        <row r="801">
          <cell r="Z801" t="b">
            <v>0</v>
          </cell>
        </row>
        <row r="802">
          <cell r="Z802" t="b">
            <v>0</v>
          </cell>
        </row>
        <row r="803">
          <cell r="Z803" t="b">
            <v>0</v>
          </cell>
        </row>
        <row r="804">
          <cell r="Z804" t="b">
            <v>0</v>
          </cell>
        </row>
        <row r="805">
          <cell r="Z805" t="b">
            <v>0</v>
          </cell>
        </row>
        <row r="806">
          <cell r="Z806" t="b">
            <v>0</v>
          </cell>
        </row>
        <row r="807">
          <cell r="Z807" t="b">
            <v>0</v>
          </cell>
        </row>
        <row r="808">
          <cell r="Z808" t="b">
            <v>0</v>
          </cell>
        </row>
        <row r="809">
          <cell r="Z809" t="b">
            <v>0</v>
          </cell>
        </row>
        <row r="810">
          <cell r="Z810" t="b">
            <v>0</v>
          </cell>
        </row>
        <row r="811">
          <cell r="Z811" t="b">
            <v>0</v>
          </cell>
        </row>
        <row r="812">
          <cell r="Z812" t="b">
            <v>0</v>
          </cell>
        </row>
        <row r="813">
          <cell r="Z813" t="b">
            <v>0</v>
          </cell>
        </row>
        <row r="814">
          <cell r="Z814" t="b">
            <v>0</v>
          </cell>
        </row>
        <row r="815">
          <cell r="Z815" t="b">
            <v>0</v>
          </cell>
        </row>
        <row r="816">
          <cell r="Z816" t="b">
            <v>0</v>
          </cell>
        </row>
        <row r="817">
          <cell r="Z817" t="b">
            <v>0</v>
          </cell>
        </row>
        <row r="818">
          <cell r="Z818" t="b">
            <v>0</v>
          </cell>
        </row>
        <row r="819">
          <cell r="Z819" t="b">
            <v>0</v>
          </cell>
        </row>
        <row r="820">
          <cell r="Z820" t="b">
            <v>0</v>
          </cell>
        </row>
        <row r="821">
          <cell r="Z821" t="b">
            <v>0</v>
          </cell>
        </row>
        <row r="822">
          <cell r="Z822" t="b">
            <v>0</v>
          </cell>
        </row>
        <row r="823">
          <cell r="Z823" t="b">
            <v>0</v>
          </cell>
        </row>
        <row r="824">
          <cell r="Z824" t="b">
            <v>0</v>
          </cell>
        </row>
        <row r="825">
          <cell r="Z825" t="b">
            <v>0</v>
          </cell>
        </row>
        <row r="826">
          <cell r="Z826" t="b">
            <v>0</v>
          </cell>
        </row>
        <row r="827">
          <cell r="Z827" t="b">
            <v>0</v>
          </cell>
        </row>
        <row r="828">
          <cell r="Z828" t="b">
            <v>0</v>
          </cell>
        </row>
        <row r="829">
          <cell r="Z829" t="b">
            <v>0</v>
          </cell>
        </row>
        <row r="830">
          <cell r="Z830" t="b">
            <v>0</v>
          </cell>
        </row>
        <row r="831">
          <cell r="Z831" t="b">
            <v>0</v>
          </cell>
        </row>
        <row r="832">
          <cell r="Z832" t="b">
            <v>0</v>
          </cell>
        </row>
        <row r="833">
          <cell r="Z833" t="b">
            <v>0</v>
          </cell>
        </row>
        <row r="834">
          <cell r="Z834" t="b">
            <v>0</v>
          </cell>
        </row>
        <row r="835">
          <cell r="Z835" t="b">
            <v>0</v>
          </cell>
        </row>
        <row r="836">
          <cell r="Z836" t="b">
            <v>0</v>
          </cell>
        </row>
        <row r="837">
          <cell r="Z837" t="b">
            <v>0</v>
          </cell>
        </row>
        <row r="838">
          <cell r="Z838" t="b">
            <v>0</v>
          </cell>
        </row>
        <row r="839">
          <cell r="Z839" t="b">
            <v>0</v>
          </cell>
        </row>
        <row r="840">
          <cell r="Z840" t="b">
            <v>0</v>
          </cell>
        </row>
        <row r="841">
          <cell r="Z841" t="b">
            <v>0</v>
          </cell>
        </row>
        <row r="842">
          <cell r="Z842" t="b">
            <v>0</v>
          </cell>
        </row>
        <row r="843">
          <cell r="Z843" t="b">
            <v>0</v>
          </cell>
        </row>
        <row r="844">
          <cell r="Z844" t="b">
            <v>0</v>
          </cell>
        </row>
        <row r="845">
          <cell r="Z845" t="b">
            <v>0</v>
          </cell>
        </row>
        <row r="846">
          <cell r="Z846" t="b">
            <v>0</v>
          </cell>
        </row>
        <row r="847">
          <cell r="Z847" t="b">
            <v>0</v>
          </cell>
        </row>
        <row r="848">
          <cell r="Z848" t="b">
            <v>0</v>
          </cell>
        </row>
        <row r="849">
          <cell r="Z849" t="b">
            <v>0</v>
          </cell>
        </row>
        <row r="850">
          <cell r="Z850" t="b">
            <v>0</v>
          </cell>
        </row>
        <row r="851">
          <cell r="Z851" t="b">
            <v>0</v>
          </cell>
        </row>
        <row r="852">
          <cell r="Z852" t="b">
            <v>0</v>
          </cell>
        </row>
        <row r="853">
          <cell r="Z853" t="b">
            <v>0</v>
          </cell>
        </row>
        <row r="854">
          <cell r="Z854" t="b">
            <v>0</v>
          </cell>
        </row>
        <row r="855">
          <cell r="Z855" t="b">
            <v>0</v>
          </cell>
        </row>
        <row r="856">
          <cell r="Z856" t="b">
            <v>0</v>
          </cell>
        </row>
        <row r="857">
          <cell r="Z857" t="b">
            <v>0</v>
          </cell>
        </row>
        <row r="858">
          <cell r="Z858" t="b">
            <v>0</v>
          </cell>
        </row>
        <row r="859">
          <cell r="Z859" t="b">
            <v>0</v>
          </cell>
        </row>
        <row r="860">
          <cell r="Z860" t="b">
            <v>0</v>
          </cell>
        </row>
        <row r="861">
          <cell r="Z861" t="b">
            <v>0</v>
          </cell>
        </row>
        <row r="862">
          <cell r="Z862" t="b">
            <v>0</v>
          </cell>
        </row>
        <row r="863">
          <cell r="Z863" t="b">
            <v>0</v>
          </cell>
        </row>
        <row r="864">
          <cell r="Z864" t="b">
            <v>0</v>
          </cell>
        </row>
        <row r="865">
          <cell r="Z865" t="b">
            <v>0</v>
          </cell>
        </row>
        <row r="866">
          <cell r="Z866" t="b">
            <v>0</v>
          </cell>
        </row>
        <row r="867">
          <cell r="Z867" t="b">
            <v>0</v>
          </cell>
        </row>
        <row r="868">
          <cell r="Z868" t="b">
            <v>0</v>
          </cell>
        </row>
        <row r="869">
          <cell r="Z869" t="b">
            <v>0</v>
          </cell>
        </row>
        <row r="870">
          <cell r="Z870" t="b">
            <v>0</v>
          </cell>
        </row>
        <row r="871">
          <cell r="Z871" t="b">
            <v>0</v>
          </cell>
        </row>
        <row r="872">
          <cell r="Z872" t="b">
            <v>0</v>
          </cell>
        </row>
        <row r="873">
          <cell r="Z873" t="b">
            <v>0</v>
          </cell>
        </row>
        <row r="874">
          <cell r="Z874" t="b">
            <v>0</v>
          </cell>
        </row>
        <row r="875">
          <cell r="Z875" t="b">
            <v>0</v>
          </cell>
        </row>
        <row r="876">
          <cell r="Z876" t="b">
            <v>0</v>
          </cell>
        </row>
        <row r="877">
          <cell r="Z877" t="b">
            <v>0</v>
          </cell>
        </row>
        <row r="878">
          <cell r="Z878" t="b">
            <v>0</v>
          </cell>
        </row>
        <row r="879">
          <cell r="Z879" t="b">
            <v>0</v>
          </cell>
        </row>
        <row r="880">
          <cell r="Z880" t="b">
            <v>0</v>
          </cell>
        </row>
        <row r="881">
          <cell r="Z881" t="b">
            <v>0</v>
          </cell>
        </row>
        <row r="882">
          <cell r="Z882" t="b">
            <v>0</v>
          </cell>
        </row>
        <row r="883">
          <cell r="Z883" t="b">
            <v>0</v>
          </cell>
        </row>
        <row r="884">
          <cell r="Z884" t="b">
            <v>0</v>
          </cell>
        </row>
        <row r="885">
          <cell r="Z885" t="b">
            <v>0</v>
          </cell>
        </row>
        <row r="886">
          <cell r="Z886" t="b">
            <v>0</v>
          </cell>
        </row>
        <row r="887">
          <cell r="Z887" t="b">
            <v>0</v>
          </cell>
        </row>
        <row r="888">
          <cell r="Z888" t="b">
            <v>0</v>
          </cell>
        </row>
        <row r="889">
          <cell r="Z889" t="b">
            <v>0</v>
          </cell>
        </row>
        <row r="890">
          <cell r="Z890" t="b">
            <v>0</v>
          </cell>
        </row>
        <row r="891">
          <cell r="Z891" t="b">
            <v>0</v>
          </cell>
        </row>
        <row r="892">
          <cell r="Z892" t="b">
            <v>0</v>
          </cell>
        </row>
        <row r="893">
          <cell r="Z893" t="b">
            <v>0</v>
          </cell>
        </row>
        <row r="894">
          <cell r="Z894" t="b">
            <v>0</v>
          </cell>
        </row>
        <row r="895">
          <cell r="Z895" t="b">
            <v>0</v>
          </cell>
        </row>
        <row r="896">
          <cell r="Z896" t="b">
            <v>0</v>
          </cell>
        </row>
        <row r="897">
          <cell r="Z897" t="b">
            <v>0</v>
          </cell>
        </row>
        <row r="898">
          <cell r="Z898" t="b">
            <v>0</v>
          </cell>
        </row>
        <row r="899">
          <cell r="Z899" t="b">
            <v>0</v>
          </cell>
        </row>
        <row r="900">
          <cell r="Z900" t="b">
            <v>0</v>
          </cell>
        </row>
        <row r="901">
          <cell r="Z901" t="b">
            <v>0</v>
          </cell>
        </row>
        <row r="902">
          <cell r="Z902" t="b">
            <v>0</v>
          </cell>
        </row>
        <row r="903">
          <cell r="Z903" t="b">
            <v>0</v>
          </cell>
        </row>
        <row r="904">
          <cell r="Z904" t="b">
            <v>0</v>
          </cell>
        </row>
        <row r="905">
          <cell r="Z905" t="b">
            <v>0</v>
          </cell>
        </row>
        <row r="906">
          <cell r="Z906" t="b">
            <v>0</v>
          </cell>
        </row>
        <row r="907">
          <cell r="Z907" t="b">
            <v>0</v>
          </cell>
        </row>
        <row r="908">
          <cell r="Z908" t="b">
            <v>0</v>
          </cell>
        </row>
        <row r="909">
          <cell r="Z909" t="b">
            <v>0</v>
          </cell>
        </row>
        <row r="910">
          <cell r="Z910" t="b">
            <v>0</v>
          </cell>
        </row>
        <row r="911">
          <cell r="Z911" t="b">
            <v>0</v>
          </cell>
        </row>
        <row r="912">
          <cell r="Z912" t="b">
            <v>0</v>
          </cell>
        </row>
        <row r="913">
          <cell r="Z913" t="b">
            <v>0</v>
          </cell>
        </row>
        <row r="914">
          <cell r="Z914" t="b">
            <v>0</v>
          </cell>
        </row>
        <row r="915">
          <cell r="Z915" t="b">
            <v>0</v>
          </cell>
        </row>
        <row r="916">
          <cell r="Z916" t="b">
            <v>0</v>
          </cell>
        </row>
        <row r="917">
          <cell r="Z917" t="b">
            <v>0</v>
          </cell>
        </row>
        <row r="918">
          <cell r="Z918" t="b">
            <v>0</v>
          </cell>
        </row>
        <row r="919">
          <cell r="Z919" t="b">
            <v>0</v>
          </cell>
        </row>
        <row r="920">
          <cell r="Z920" t="b">
            <v>0</v>
          </cell>
        </row>
        <row r="921">
          <cell r="Z921" t="b">
            <v>0</v>
          </cell>
        </row>
        <row r="922">
          <cell r="Z922" t="b">
            <v>0</v>
          </cell>
        </row>
        <row r="923">
          <cell r="Z923" t="b">
            <v>0</v>
          </cell>
        </row>
        <row r="924">
          <cell r="Z924" t="b">
            <v>0</v>
          </cell>
        </row>
        <row r="925">
          <cell r="Z925" t="b">
            <v>0</v>
          </cell>
        </row>
        <row r="926">
          <cell r="Z926" t="b">
            <v>0</v>
          </cell>
        </row>
        <row r="927">
          <cell r="Z927" t="b">
            <v>0</v>
          </cell>
        </row>
        <row r="928">
          <cell r="Z928" t="b">
            <v>0</v>
          </cell>
        </row>
        <row r="929">
          <cell r="Z929" t="b">
            <v>0</v>
          </cell>
        </row>
        <row r="930">
          <cell r="Z930" t="b">
            <v>0</v>
          </cell>
        </row>
        <row r="931">
          <cell r="Z931" t="b">
            <v>0</v>
          </cell>
        </row>
        <row r="932">
          <cell r="Z932" t="b">
            <v>0</v>
          </cell>
        </row>
        <row r="933">
          <cell r="Z933" t="b">
            <v>0</v>
          </cell>
        </row>
        <row r="934">
          <cell r="Z934" t="b">
            <v>0</v>
          </cell>
        </row>
        <row r="935">
          <cell r="Z935" t="b">
            <v>0</v>
          </cell>
        </row>
        <row r="936">
          <cell r="Z936" t="b">
            <v>0</v>
          </cell>
        </row>
        <row r="937">
          <cell r="Z937" t="b">
            <v>0</v>
          </cell>
        </row>
        <row r="938">
          <cell r="Z938" t="b">
            <v>0</v>
          </cell>
        </row>
        <row r="939">
          <cell r="Z939" t="b">
            <v>0</v>
          </cell>
        </row>
        <row r="940">
          <cell r="Z940" t="b">
            <v>0</v>
          </cell>
        </row>
        <row r="941">
          <cell r="Z941" t="b">
            <v>0</v>
          </cell>
        </row>
        <row r="942">
          <cell r="Z942" t="b">
            <v>0</v>
          </cell>
        </row>
        <row r="943">
          <cell r="Z943" t="b">
            <v>0</v>
          </cell>
        </row>
        <row r="944">
          <cell r="Z944" t="b">
            <v>0</v>
          </cell>
        </row>
        <row r="945">
          <cell r="Z945" t="b">
            <v>0</v>
          </cell>
        </row>
        <row r="946">
          <cell r="Z946" t="b">
            <v>0</v>
          </cell>
        </row>
        <row r="947">
          <cell r="Z947" t="b">
            <v>0</v>
          </cell>
        </row>
        <row r="948">
          <cell r="Z948" t="b">
            <v>0</v>
          </cell>
        </row>
        <row r="949">
          <cell r="Z949" t="b">
            <v>0</v>
          </cell>
        </row>
        <row r="950">
          <cell r="Z950" t="b">
            <v>0</v>
          </cell>
        </row>
        <row r="951">
          <cell r="Z951" t="b">
            <v>0</v>
          </cell>
        </row>
        <row r="952">
          <cell r="Z952" t="b">
            <v>0</v>
          </cell>
        </row>
        <row r="953">
          <cell r="Z953" t="b">
            <v>0</v>
          </cell>
        </row>
        <row r="954">
          <cell r="Z954" t="b">
            <v>0</v>
          </cell>
        </row>
        <row r="955">
          <cell r="Z955" t="b">
            <v>0</v>
          </cell>
        </row>
        <row r="956">
          <cell r="Z956" t="b">
            <v>0</v>
          </cell>
        </row>
        <row r="957">
          <cell r="Z957" t="b">
            <v>0</v>
          </cell>
        </row>
        <row r="958">
          <cell r="Z958" t="b">
            <v>0</v>
          </cell>
        </row>
        <row r="959">
          <cell r="Z959" t="b">
            <v>0</v>
          </cell>
        </row>
        <row r="960">
          <cell r="Z960" t="b">
            <v>0</v>
          </cell>
        </row>
        <row r="961">
          <cell r="Z961" t="b">
            <v>0</v>
          </cell>
        </row>
        <row r="962">
          <cell r="Z962" t="b">
            <v>0</v>
          </cell>
        </row>
        <row r="963">
          <cell r="Z963" t="b">
            <v>0</v>
          </cell>
        </row>
        <row r="964">
          <cell r="Z964" t="b">
            <v>0</v>
          </cell>
        </row>
        <row r="965">
          <cell r="Z965" t="b">
            <v>0</v>
          </cell>
        </row>
        <row r="966">
          <cell r="Z966" t="b">
            <v>0</v>
          </cell>
        </row>
        <row r="967">
          <cell r="Z967" t="b">
            <v>0</v>
          </cell>
        </row>
        <row r="968">
          <cell r="Z968" t="b">
            <v>0</v>
          </cell>
        </row>
        <row r="969">
          <cell r="Z969" t="b">
            <v>0</v>
          </cell>
        </row>
        <row r="970">
          <cell r="Z970" t="b">
            <v>0</v>
          </cell>
        </row>
        <row r="971">
          <cell r="Z971" t="b">
            <v>0</v>
          </cell>
        </row>
        <row r="972">
          <cell r="Z972" t="b">
            <v>0</v>
          </cell>
        </row>
        <row r="973">
          <cell r="Z973" t="b">
            <v>0</v>
          </cell>
        </row>
        <row r="974">
          <cell r="Z974" t="b">
            <v>0</v>
          </cell>
        </row>
        <row r="975">
          <cell r="Z975" t="b">
            <v>0</v>
          </cell>
        </row>
        <row r="976">
          <cell r="Z976" t="b">
            <v>0</v>
          </cell>
        </row>
        <row r="977">
          <cell r="Z977" t="b">
            <v>0</v>
          </cell>
        </row>
        <row r="978">
          <cell r="Z978" t="b">
            <v>0</v>
          </cell>
        </row>
        <row r="979">
          <cell r="Z979" t="b">
            <v>0</v>
          </cell>
        </row>
        <row r="980">
          <cell r="Z980" t="b">
            <v>0</v>
          </cell>
        </row>
        <row r="981">
          <cell r="Z981" t="b">
            <v>0</v>
          </cell>
        </row>
        <row r="982">
          <cell r="Z982" t="b">
            <v>0</v>
          </cell>
        </row>
        <row r="983">
          <cell r="Z983" t="b">
            <v>0</v>
          </cell>
        </row>
        <row r="984">
          <cell r="Z984" t="b">
            <v>0</v>
          </cell>
        </row>
        <row r="985">
          <cell r="Z985" t="b">
            <v>0</v>
          </cell>
        </row>
        <row r="986">
          <cell r="Z986" t="b">
            <v>0</v>
          </cell>
        </row>
        <row r="987">
          <cell r="Z987" t="b">
            <v>0</v>
          </cell>
        </row>
        <row r="988">
          <cell r="Z988" t="b">
            <v>0</v>
          </cell>
        </row>
        <row r="989">
          <cell r="Z989" t="b">
            <v>0</v>
          </cell>
        </row>
        <row r="990">
          <cell r="Z990" t="b">
            <v>0</v>
          </cell>
        </row>
        <row r="991">
          <cell r="Z991" t="b">
            <v>0</v>
          </cell>
        </row>
        <row r="992">
          <cell r="Z992" t="b">
            <v>0</v>
          </cell>
        </row>
        <row r="993">
          <cell r="Z993" t="b">
            <v>0</v>
          </cell>
        </row>
        <row r="994">
          <cell r="Z994" t="b">
            <v>0</v>
          </cell>
        </row>
        <row r="995">
          <cell r="Z995" t="b">
            <v>0</v>
          </cell>
        </row>
        <row r="996">
          <cell r="Z996" t="b">
            <v>0</v>
          </cell>
        </row>
        <row r="997">
          <cell r="Z997" t="b">
            <v>0</v>
          </cell>
        </row>
        <row r="998">
          <cell r="Z998" t="b">
            <v>0</v>
          </cell>
        </row>
        <row r="999">
          <cell r="Z999" t="b">
            <v>0</v>
          </cell>
        </row>
        <row r="1000">
          <cell r="Z1000" t="b">
            <v>0</v>
          </cell>
        </row>
        <row r="1001">
          <cell r="Z1001" t="b">
            <v>0</v>
          </cell>
        </row>
        <row r="1002">
          <cell r="Z1002" t="b">
            <v>0</v>
          </cell>
        </row>
        <row r="1003">
          <cell r="Z1003" t="b">
            <v>0</v>
          </cell>
        </row>
        <row r="1004">
          <cell r="Z1004" t="b">
            <v>0</v>
          </cell>
        </row>
        <row r="1005">
          <cell r="Z1005" t="b">
            <v>0</v>
          </cell>
        </row>
        <row r="1006">
          <cell r="Z1006" t="b">
            <v>0</v>
          </cell>
        </row>
        <row r="1007">
          <cell r="Z1007" t="b">
            <v>0</v>
          </cell>
        </row>
        <row r="1008">
          <cell r="Z1008" t="b">
            <v>0</v>
          </cell>
        </row>
        <row r="1009">
          <cell r="Z1009" t="b">
            <v>0</v>
          </cell>
        </row>
        <row r="1010">
          <cell r="Z1010" t="b">
            <v>0</v>
          </cell>
        </row>
        <row r="1011">
          <cell r="Z1011" t="b">
            <v>0</v>
          </cell>
        </row>
        <row r="1012">
          <cell r="Z1012" t="b">
            <v>0</v>
          </cell>
        </row>
        <row r="1013">
          <cell r="Z1013" t="b">
            <v>0</v>
          </cell>
        </row>
        <row r="1014">
          <cell r="Z1014" t="b">
            <v>0</v>
          </cell>
        </row>
        <row r="1015">
          <cell r="Z1015" t="b">
            <v>0</v>
          </cell>
        </row>
        <row r="1016">
          <cell r="Z1016" t="b">
            <v>0</v>
          </cell>
        </row>
        <row r="1017">
          <cell r="Z1017" t="b">
            <v>0</v>
          </cell>
        </row>
        <row r="1018">
          <cell r="Z1018" t="b">
            <v>0</v>
          </cell>
        </row>
        <row r="1019">
          <cell r="Z1019" t="b">
            <v>0</v>
          </cell>
        </row>
        <row r="1020">
          <cell r="Z1020" t="b">
            <v>0</v>
          </cell>
        </row>
        <row r="1021">
          <cell r="Z1021" t="b">
            <v>0</v>
          </cell>
        </row>
        <row r="1022">
          <cell r="Z1022" t="b">
            <v>0</v>
          </cell>
        </row>
        <row r="1023">
          <cell r="Z1023" t="b">
            <v>0</v>
          </cell>
        </row>
        <row r="1024">
          <cell r="Z1024" t="b">
            <v>0</v>
          </cell>
        </row>
        <row r="1025">
          <cell r="Z1025" t="b">
            <v>0</v>
          </cell>
        </row>
        <row r="1026">
          <cell r="Z1026" t="b">
            <v>0</v>
          </cell>
        </row>
        <row r="1027">
          <cell r="Z1027" t="b">
            <v>0</v>
          </cell>
        </row>
        <row r="1028">
          <cell r="Z1028" t="b">
            <v>0</v>
          </cell>
        </row>
        <row r="1029">
          <cell r="Z1029" t="b">
            <v>0</v>
          </cell>
        </row>
        <row r="1030">
          <cell r="Z1030" t="b">
            <v>0</v>
          </cell>
        </row>
        <row r="1031">
          <cell r="Z1031" t="b">
            <v>0</v>
          </cell>
        </row>
        <row r="1032">
          <cell r="Z1032" t="b">
            <v>0</v>
          </cell>
        </row>
        <row r="1033">
          <cell r="Z1033" t="b">
            <v>0</v>
          </cell>
        </row>
        <row r="1034">
          <cell r="Z1034" t="b">
            <v>0</v>
          </cell>
        </row>
        <row r="1035">
          <cell r="Z1035" t="b">
            <v>0</v>
          </cell>
        </row>
        <row r="1036">
          <cell r="Z1036" t="b">
            <v>0</v>
          </cell>
        </row>
        <row r="1037">
          <cell r="Z1037" t="b">
            <v>0</v>
          </cell>
        </row>
        <row r="1038">
          <cell r="Z1038" t="b">
            <v>0</v>
          </cell>
        </row>
        <row r="1039">
          <cell r="Z1039" t="b">
            <v>0</v>
          </cell>
        </row>
        <row r="1040">
          <cell r="Z1040" t="b">
            <v>0</v>
          </cell>
        </row>
        <row r="1041">
          <cell r="Z1041" t="b">
            <v>0</v>
          </cell>
        </row>
        <row r="1042">
          <cell r="Z1042" t="b">
            <v>0</v>
          </cell>
        </row>
        <row r="1043">
          <cell r="Z1043" t="b">
            <v>0</v>
          </cell>
        </row>
        <row r="1044">
          <cell r="Z1044" t="b">
            <v>0</v>
          </cell>
        </row>
        <row r="1045">
          <cell r="Z1045" t="b">
            <v>0</v>
          </cell>
        </row>
        <row r="1046">
          <cell r="Z1046" t="b">
            <v>0</v>
          </cell>
        </row>
        <row r="1047">
          <cell r="Z1047" t="b">
            <v>0</v>
          </cell>
        </row>
        <row r="1048">
          <cell r="Z1048" t="b">
            <v>0</v>
          </cell>
        </row>
        <row r="1049">
          <cell r="Z1049" t="b">
            <v>0</v>
          </cell>
        </row>
        <row r="1050">
          <cell r="Z1050" t="b">
            <v>0</v>
          </cell>
        </row>
        <row r="1051">
          <cell r="Z1051" t="b">
            <v>0</v>
          </cell>
        </row>
        <row r="1052">
          <cell r="Z1052" t="b">
            <v>0</v>
          </cell>
        </row>
        <row r="1053">
          <cell r="Z1053" t="b">
            <v>0</v>
          </cell>
        </row>
        <row r="1054">
          <cell r="Z1054" t="b">
            <v>0</v>
          </cell>
        </row>
        <row r="1055">
          <cell r="Z1055" t="b">
            <v>0</v>
          </cell>
        </row>
        <row r="1056">
          <cell r="Z1056" t="b">
            <v>0</v>
          </cell>
        </row>
        <row r="1057">
          <cell r="Z1057" t="b">
            <v>0</v>
          </cell>
        </row>
        <row r="1058">
          <cell r="Z1058" t="b">
            <v>0</v>
          </cell>
        </row>
        <row r="1059">
          <cell r="Z1059" t="b">
            <v>0</v>
          </cell>
        </row>
        <row r="1060">
          <cell r="Z1060" t="b">
            <v>0</v>
          </cell>
        </row>
        <row r="1061">
          <cell r="Z1061" t="b">
            <v>0</v>
          </cell>
        </row>
        <row r="1062">
          <cell r="Z1062" t="b">
            <v>0</v>
          </cell>
        </row>
        <row r="1063">
          <cell r="Z1063" t="b">
            <v>0</v>
          </cell>
        </row>
        <row r="1064">
          <cell r="Z1064" t="b">
            <v>0</v>
          </cell>
        </row>
        <row r="1065">
          <cell r="Z1065" t="b">
            <v>0</v>
          </cell>
        </row>
        <row r="1066">
          <cell r="Z1066" t="b">
            <v>0</v>
          </cell>
        </row>
        <row r="1067">
          <cell r="Z1067" t="b">
            <v>0</v>
          </cell>
        </row>
        <row r="1068">
          <cell r="Z1068" t="b">
            <v>0</v>
          </cell>
        </row>
        <row r="1069">
          <cell r="Z1069" t="b">
            <v>0</v>
          </cell>
        </row>
        <row r="1070">
          <cell r="Z1070" t="b">
            <v>0</v>
          </cell>
        </row>
        <row r="1071">
          <cell r="Z1071" t="b">
            <v>0</v>
          </cell>
        </row>
        <row r="1072">
          <cell r="Z1072" t="b">
            <v>0</v>
          </cell>
        </row>
        <row r="1073">
          <cell r="Z1073" t="b">
            <v>0</v>
          </cell>
        </row>
        <row r="1074">
          <cell r="Z1074" t="b">
            <v>0</v>
          </cell>
        </row>
        <row r="1075">
          <cell r="Z1075" t="b">
            <v>0</v>
          </cell>
        </row>
        <row r="1076">
          <cell r="Z1076" t="b">
            <v>0</v>
          </cell>
        </row>
        <row r="1077">
          <cell r="Z1077" t="b">
            <v>0</v>
          </cell>
        </row>
        <row r="1078">
          <cell r="Z1078" t="b">
            <v>0</v>
          </cell>
        </row>
        <row r="1079">
          <cell r="Z1079" t="b">
            <v>0</v>
          </cell>
        </row>
        <row r="1080">
          <cell r="Z1080" t="b">
            <v>0</v>
          </cell>
        </row>
        <row r="1081">
          <cell r="Z1081" t="b">
            <v>0</v>
          </cell>
        </row>
        <row r="1082">
          <cell r="Z1082" t="b">
            <v>0</v>
          </cell>
        </row>
        <row r="1083">
          <cell r="Z1083" t="b">
            <v>0</v>
          </cell>
        </row>
        <row r="1084">
          <cell r="Z1084" t="b">
            <v>0</v>
          </cell>
        </row>
        <row r="1085">
          <cell r="Z1085" t="b">
            <v>0</v>
          </cell>
        </row>
        <row r="1086">
          <cell r="Z1086" t="b">
            <v>0</v>
          </cell>
        </row>
        <row r="1087">
          <cell r="Z1087" t="b">
            <v>0</v>
          </cell>
        </row>
        <row r="1088">
          <cell r="Z1088" t="b">
            <v>0</v>
          </cell>
        </row>
        <row r="1089">
          <cell r="Z1089" t="b">
            <v>0</v>
          </cell>
        </row>
        <row r="1090">
          <cell r="Z1090" t="b">
            <v>0</v>
          </cell>
        </row>
        <row r="1091">
          <cell r="Z1091" t="b">
            <v>0</v>
          </cell>
        </row>
        <row r="1092">
          <cell r="Z1092" t="b">
            <v>0</v>
          </cell>
        </row>
        <row r="1093">
          <cell r="Z1093" t="b">
            <v>0</v>
          </cell>
        </row>
        <row r="1094">
          <cell r="Z1094" t="b">
            <v>0</v>
          </cell>
        </row>
        <row r="1095">
          <cell r="Z1095" t="b">
            <v>0</v>
          </cell>
        </row>
        <row r="1096">
          <cell r="Z1096" t="b">
            <v>0</v>
          </cell>
        </row>
        <row r="1097">
          <cell r="Z1097" t="b">
            <v>0</v>
          </cell>
        </row>
        <row r="1098">
          <cell r="Z1098" t="b">
            <v>0</v>
          </cell>
        </row>
        <row r="1099">
          <cell r="Z1099" t="b">
            <v>0</v>
          </cell>
        </row>
        <row r="1100">
          <cell r="Z1100" t="b">
            <v>0</v>
          </cell>
        </row>
        <row r="1101">
          <cell r="Z1101" t="b">
            <v>0</v>
          </cell>
        </row>
        <row r="1102">
          <cell r="Z1102" t="b">
            <v>0</v>
          </cell>
        </row>
        <row r="1103">
          <cell r="Z1103" t="b">
            <v>0</v>
          </cell>
        </row>
        <row r="1104">
          <cell r="Z1104" t="b">
            <v>0</v>
          </cell>
        </row>
        <row r="1105">
          <cell r="Z1105" t="b">
            <v>0</v>
          </cell>
        </row>
        <row r="1106">
          <cell r="Z1106" t="b">
            <v>0</v>
          </cell>
        </row>
        <row r="1107">
          <cell r="Z1107" t="b">
            <v>0</v>
          </cell>
        </row>
        <row r="1108">
          <cell r="Z1108" t="b">
            <v>0</v>
          </cell>
        </row>
        <row r="1109">
          <cell r="Z1109" t="b">
            <v>0</v>
          </cell>
        </row>
        <row r="1110">
          <cell r="Z1110" t="b">
            <v>0</v>
          </cell>
        </row>
        <row r="1111">
          <cell r="Z1111" t="b">
            <v>0</v>
          </cell>
        </row>
        <row r="1112">
          <cell r="Z1112" t="b">
            <v>0</v>
          </cell>
        </row>
        <row r="1113">
          <cell r="Z1113" t="b">
            <v>0</v>
          </cell>
        </row>
        <row r="1114">
          <cell r="Z1114" t="b">
            <v>0</v>
          </cell>
        </row>
        <row r="1115">
          <cell r="Z1115" t="b">
            <v>0</v>
          </cell>
        </row>
        <row r="1116">
          <cell r="Z1116" t="b">
            <v>0</v>
          </cell>
        </row>
        <row r="1117">
          <cell r="Z1117" t="b">
            <v>0</v>
          </cell>
        </row>
        <row r="1118">
          <cell r="Z1118" t="b">
            <v>0</v>
          </cell>
        </row>
        <row r="1119">
          <cell r="Z1119" t="b">
            <v>0</v>
          </cell>
        </row>
        <row r="1120">
          <cell r="Z1120" t="b">
            <v>0</v>
          </cell>
        </row>
        <row r="1121">
          <cell r="Z1121" t="b">
            <v>0</v>
          </cell>
        </row>
        <row r="1122">
          <cell r="Z1122" t="b">
            <v>0</v>
          </cell>
        </row>
        <row r="1123">
          <cell r="Z1123" t="b">
            <v>0</v>
          </cell>
        </row>
        <row r="1124">
          <cell r="Z1124" t="b">
            <v>0</v>
          </cell>
        </row>
        <row r="1125">
          <cell r="Z1125" t="b">
            <v>0</v>
          </cell>
        </row>
        <row r="1126">
          <cell r="Z1126" t="b">
            <v>0</v>
          </cell>
        </row>
        <row r="1127">
          <cell r="Z1127" t="b">
            <v>0</v>
          </cell>
        </row>
        <row r="1128">
          <cell r="Z1128" t="b">
            <v>0</v>
          </cell>
        </row>
        <row r="1129">
          <cell r="Z1129" t="b">
            <v>0</v>
          </cell>
        </row>
        <row r="1130">
          <cell r="Z1130" t="b">
            <v>0</v>
          </cell>
        </row>
        <row r="1131">
          <cell r="Z1131" t="b">
            <v>0</v>
          </cell>
        </row>
        <row r="1132">
          <cell r="Z1132" t="b">
            <v>0</v>
          </cell>
        </row>
        <row r="1133">
          <cell r="Z1133" t="b">
            <v>0</v>
          </cell>
        </row>
        <row r="1134">
          <cell r="Z1134" t="b">
            <v>0</v>
          </cell>
        </row>
        <row r="1135">
          <cell r="Z1135" t="b">
            <v>0</v>
          </cell>
        </row>
        <row r="1136">
          <cell r="Z1136" t="b">
            <v>0</v>
          </cell>
        </row>
        <row r="1137">
          <cell r="Z1137" t="b">
            <v>0</v>
          </cell>
        </row>
        <row r="1138">
          <cell r="Z1138" t="b">
            <v>0</v>
          </cell>
        </row>
        <row r="1139">
          <cell r="Z1139" t="b">
            <v>0</v>
          </cell>
        </row>
        <row r="1140">
          <cell r="Z1140" t="b">
            <v>0</v>
          </cell>
        </row>
        <row r="1141">
          <cell r="Z1141" t="b">
            <v>0</v>
          </cell>
        </row>
        <row r="1142">
          <cell r="Z1142" t="b">
            <v>0</v>
          </cell>
        </row>
        <row r="1143">
          <cell r="Z1143" t="b">
            <v>0</v>
          </cell>
        </row>
        <row r="1144">
          <cell r="Z1144" t="b">
            <v>0</v>
          </cell>
        </row>
        <row r="1145">
          <cell r="Z1145" t="b">
            <v>0</v>
          </cell>
        </row>
        <row r="1146">
          <cell r="Z1146" t="b">
            <v>0</v>
          </cell>
        </row>
        <row r="1147">
          <cell r="Z1147" t="b">
            <v>0</v>
          </cell>
        </row>
        <row r="1148">
          <cell r="Z1148" t="b">
            <v>0</v>
          </cell>
        </row>
        <row r="1149">
          <cell r="Z1149" t="b">
            <v>0</v>
          </cell>
        </row>
        <row r="1150">
          <cell r="Z1150" t="b">
            <v>0</v>
          </cell>
        </row>
        <row r="1151">
          <cell r="Z1151" t="b">
            <v>0</v>
          </cell>
        </row>
        <row r="1152">
          <cell r="Z1152" t="b">
            <v>0</v>
          </cell>
        </row>
        <row r="1153">
          <cell r="Z1153" t="b">
            <v>0</v>
          </cell>
        </row>
        <row r="1154">
          <cell r="Z1154" t="b">
            <v>0</v>
          </cell>
        </row>
        <row r="1155">
          <cell r="Z1155" t="b">
            <v>0</v>
          </cell>
        </row>
        <row r="1156">
          <cell r="Z1156" t="b">
            <v>0</v>
          </cell>
        </row>
        <row r="1157">
          <cell r="Z1157" t="b">
            <v>0</v>
          </cell>
        </row>
        <row r="1158">
          <cell r="Z1158" t="b">
            <v>0</v>
          </cell>
        </row>
        <row r="1159">
          <cell r="Z1159" t="b">
            <v>0</v>
          </cell>
        </row>
        <row r="1160">
          <cell r="Z1160" t="b">
            <v>0</v>
          </cell>
        </row>
        <row r="1161">
          <cell r="Z1161" t="b">
            <v>0</v>
          </cell>
        </row>
        <row r="1162">
          <cell r="Z1162" t="b">
            <v>0</v>
          </cell>
        </row>
        <row r="1163">
          <cell r="Z1163" t="b">
            <v>0</v>
          </cell>
        </row>
        <row r="1164">
          <cell r="Z1164" t="b">
            <v>0</v>
          </cell>
        </row>
        <row r="1165">
          <cell r="Z1165" t="b">
            <v>0</v>
          </cell>
        </row>
        <row r="1166">
          <cell r="Z1166" t="b">
            <v>0</v>
          </cell>
        </row>
        <row r="1167">
          <cell r="Z1167" t="b">
            <v>0</v>
          </cell>
        </row>
        <row r="1168">
          <cell r="Z1168" t="b">
            <v>0</v>
          </cell>
        </row>
        <row r="1169">
          <cell r="Z1169" t="b">
            <v>0</v>
          </cell>
        </row>
        <row r="1170">
          <cell r="Z1170" t="b">
            <v>0</v>
          </cell>
        </row>
        <row r="1171">
          <cell r="Z1171" t="b">
            <v>0</v>
          </cell>
        </row>
        <row r="1172">
          <cell r="Z1172" t="b">
            <v>0</v>
          </cell>
        </row>
        <row r="1173">
          <cell r="Z1173" t="b">
            <v>0</v>
          </cell>
        </row>
        <row r="1174">
          <cell r="Z1174" t="b">
            <v>0</v>
          </cell>
        </row>
        <row r="1175">
          <cell r="Z1175" t="b">
            <v>0</v>
          </cell>
        </row>
        <row r="1176">
          <cell r="Z1176" t="b">
            <v>0</v>
          </cell>
        </row>
        <row r="1177">
          <cell r="Z1177" t="b">
            <v>0</v>
          </cell>
        </row>
        <row r="1178">
          <cell r="Z1178" t="b">
            <v>0</v>
          </cell>
        </row>
        <row r="1179">
          <cell r="Z1179" t="b">
            <v>0</v>
          </cell>
        </row>
        <row r="1180">
          <cell r="Z1180" t="b">
            <v>0</v>
          </cell>
        </row>
        <row r="1181">
          <cell r="Z1181" t="b">
            <v>0</v>
          </cell>
        </row>
        <row r="1182">
          <cell r="Z1182" t="b">
            <v>0</v>
          </cell>
        </row>
        <row r="1183">
          <cell r="Z1183" t="b">
            <v>0</v>
          </cell>
        </row>
        <row r="1184">
          <cell r="Z1184" t="b">
            <v>0</v>
          </cell>
        </row>
        <row r="1185">
          <cell r="Z1185" t="b">
            <v>0</v>
          </cell>
        </row>
        <row r="1186">
          <cell r="Z1186" t="b">
            <v>0</v>
          </cell>
        </row>
        <row r="1187">
          <cell r="Z1187" t="b">
            <v>0</v>
          </cell>
        </row>
        <row r="1188">
          <cell r="Z1188" t="b">
            <v>0</v>
          </cell>
        </row>
        <row r="1189">
          <cell r="Z1189" t="b">
            <v>0</v>
          </cell>
        </row>
        <row r="1190">
          <cell r="Z1190" t="b">
            <v>0</v>
          </cell>
        </row>
        <row r="1191">
          <cell r="Z1191" t="b">
            <v>0</v>
          </cell>
        </row>
        <row r="1192">
          <cell r="Z1192" t="b">
            <v>0</v>
          </cell>
        </row>
        <row r="1193">
          <cell r="Z1193" t="b">
            <v>0</v>
          </cell>
        </row>
        <row r="1194">
          <cell r="Z1194" t="b">
            <v>0</v>
          </cell>
        </row>
        <row r="1195">
          <cell r="Z1195" t="b">
            <v>0</v>
          </cell>
        </row>
        <row r="1196">
          <cell r="Z1196" t="b">
            <v>0</v>
          </cell>
        </row>
        <row r="1197">
          <cell r="Z1197" t="b">
            <v>0</v>
          </cell>
        </row>
        <row r="1198">
          <cell r="Z1198" t="b">
            <v>0</v>
          </cell>
        </row>
        <row r="1199">
          <cell r="Z1199" t="b">
            <v>0</v>
          </cell>
        </row>
        <row r="1200">
          <cell r="Z1200" t="b">
            <v>0</v>
          </cell>
        </row>
        <row r="1201">
          <cell r="Z1201" t="b">
            <v>0</v>
          </cell>
        </row>
        <row r="1202">
          <cell r="Z1202" t="b">
            <v>0</v>
          </cell>
        </row>
        <row r="1203">
          <cell r="Z1203" t="b">
            <v>0</v>
          </cell>
        </row>
        <row r="1204">
          <cell r="Z1204" t="b">
            <v>0</v>
          </cell>
        </row>
        <row r="1205">
          <cell r="Z1205" t="b">
            <v>0</v>
          </cell>
        </row>
        <row r="1206">
          <cell r="Z1206" t="b">
            <v>0</v>
          </cell>
        </row>
        <row r="1207">
          <cell r="Z1207" t="b">
            <v>0</v>
          </cell>
        </row>
        <row r="1208">
          <cell r="Z1208" t="b">
            <v>0</v>
          </cell>
        </row>
        <row r="1209">
          <cell r="Z1209" t="b">
            <v>0</v>
          </cell>
        </row>
        <row r="1210">
          <cell r="Z1210" t="b">
            <v>0</v>
          </cell>
        </row>
        <row r="1211">
          <cell r="Z1211" t="b">
            <v>0</v>
          </cell>
        </row>
        <row r="1212">
          <cell r="Z1212" t="b">
            <v>0</v>
          </cell>
        </row>
        <row r="1213">
          <cell r="Z1213" t="b">
            <v>0</v>
          </cell>
        </row>
        <row r="1214">
          <cell r="Z1214" t="b">
            <v>0</v>
          </cell>
        </row>
        <row r="1215">
          <cell r="Z1215" t="b">
            <v>0</v>
          </cell>
        </row>
        <row r="1216">
          <cell r="Z1216" t="b">
            <v>0</v>
          </cell>
        </row>
        <row r="1217">
          <cell r="Z1217" t="b">
            <v>0</v>
          </cell>
        </row>
        <row r="1218">
          <cell r="Z1218" t="b">
            <v>0</v>
          </cell>
        </row>
        <row r="1219">
          <cell r="Z1219" t="b">
            <v>0</v>
          </cell>
        </row>
        <row r="1220">
          <cell r="Z1220" t="b">
            <v>0</v>
          </cell>
        </row>
        <row r="1221">
          <cell r="Z1221" t="b">
            <v>0</v>
          </cell>
        </row>
        <row r="1222">
          <cell r="Z1222" t="b">
            <v>0</v>
          </cell>
        </row>
        <row r="1223">
          <cell r="Z1223" t="b">
            <v>0</v>
          </cell>
        </row>
        <row r="1224">
          <cell r="Z1224" t="b">
            <v>0</v>
          </cell>
        </row>
        <row r="1225">
          <cell r="Z1225" t="b">
            <v>0</v>
          </cell>
        </row>
        <row r="1226">
          <cell r="Z1226" t="b">
            <v>0</v>
          </cell>
        </row>
        <row r="1227">
          <cell r="Z1227" t="b">
            <v>0</v>
          </cell>
        </row>
        <row r="1228">
          <cell r="Z1228" t="b">
            <v>0</v>
          </cell>
        </row>
        <row r="1229">
          <cell r="Z1229" t="b">
            <v>0</v>
          </cell>
        </row>
        <row r="1230">
          <cell r="Z1230" t="b">
            <v>0</v>
          </cell>
        </row>
        <row r="1231">
          <cell r="Z1231" t="b">
            <v>0</v>
          </cell>
        </row>
      </sheetData>
      <sheetData sheetId="1" refreshError="1">
        <row r="1">
          <cell r="N1" t="str">
            <v>SmartCharts</v>
          </cell>
          <cell r="AW1" t="str">
            <v>.</v>
          </cell>
        </row>
        <row r="2">
          <cell r="AW2" t="str">
            <v>.</v>
          </cell>
        </row>
        <row r="3">
          <cell r="AW3" t="str">
            <v>.</v>
          </cell>
        </row>
        <row r="4">
          <cell r="AW4" t="str">
            <v>.</v>
          </cell>
        </row>
        <row r="5">
          <cell r="C5" t="str">
            <v>Define value axis here:</v>
          </cell>
        </row>
        <row r="6">
          <cell r="C6" t="str">
            <v>SD&amp;A as % of Sales - Year-Over-Year Change (Bps)</v>
          </cell>
        </row>
        <row r="10">
          <cell r="C10" t="str">
            <v>Input your data here:</v>
          </cell>
          <cell r="AW10" t="str">
            <v>.</v>
          </cell>
        </row>
        <row r="11">
          <cell r="C11" t="str">
            <v>Q108</v>
          </cell>
          <cell r="D11">
            <v>-119.88023495781874</v>
          </cell>
        </row>
        <row r="12">
          <cell r="C12" t="str">
            <v>Q208</v>
          </cell>
          <cell r="D12">
            <v>-66.365626995871224</v>
          </cell>
          <cell r="AW12" t="str">
            <v>.</v>
          </cell>
        </row>
        <row r="13">
          <cell r="C13" t="str">
            <v>Q308</v>
          </cell>
          <cell r="D13">
            <v>-170.02007273091314</v>
          </cell>
          <cell r="AW13" t="str">
            <v>.</v>
          </cell>
        </row>
        <row r="14">
          <cell r="C14" t="str">
            <v>Q408</v>
          </cell>
          <cell r="D14">
            <v>-64.695093074952354</v>
          </cell>
          <cell r="AW14" t="str">
            <v>.</v>
          </cell>
        </row>
        <row r="15">
          <cell r="C15" t="str">
            <v>Q109</v>
          </cell>
          <cell r="D15">
            <v>135.10439885366043</v>
          </cell>
          <cell r="AW15" t="str">
            <v>.</v>
          </cell>
        </row>
        <row r="16">
          <cell r="C16" t="str">
            <v>Q209</v>
          </cell>
          <cell r="D16">
            <v>-198.1787824055059</v>
          </cell>
          <cell r="AW16" t="str">
            <v>.</v>
          </cell>
        </row>
        <row r="17">
          <cell r="C17" t="str">
            <v>Q309E</v>
          </cell>
          <cell r="D17">
            <v>5.9306102298761765</v>
          </cell>
          <cell r="AW17" t="str">
            <v>.</v>
          </cell>
        </row>
        <row r="18">
          <cell r="C18" t="str">
            <v>Q409E</v>
          </cell>
          <cell r="D18">
            <v>-177.31782492845682</v>
          </cell>
          <cell r="AW18" t="str">
            <v>.</v>
          </cell>
        </row>
        <row r="19">
          <cell r="C19" t="str">
            <v>2010E</v>
          </cell>
          <cell r="D19">
            <v>-74.177545579872103</v>
          </cell>
          <cell r="AW19" t="str">
            <v>.</v>
          </cell>
        </row>
        <row r="20">
          <cell r="C20" t="str">
            <v>2011E</v>
          </cell>
          <cell r="D20">
            <v>-4.7388276935789175</v>
          </cell>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2" refreshError="1">
        <row r="1">
          <cell r="Q1" t="str">
            <v>SmartCharts</v>
          </cell>
        </row>
        <row r="4">
          <cell r="A4" t="str">
            <v>4Q08</v>
          </cell>
        </row>
        <row r="5">
          <cell r="A5" t="str">
            <v>1Q09</v>
          </cell>
          <cell r="C5" t="str">
            <v>Define value axis here:</v>
          </cell>
        </row>
        <row r="6">
          <cell r="A6" t="str">
            <v>2Q09</v>
          </cell>
          <cell r="C6" t="str">
            <v>Resin Year-Over-year % Price Change (1 Quarter Lag)</v>
          </cell>
        </row>
        <row r="7">
          <cell r="A7" t="str">
            <v>3Q09e</v>
          </cell>
        </row>
        <row r="8">
          <cell r="A8" t="str">
            <v>4Q09e</v>
          </cell>
        </row>
        <row r="9">
          <cell r="A9" t="str">
            <v>1Q10e</v>
          </cell>
          <cell r="C9" t="str">
            <v>Input your data here:</v>
          </cell>
        </row>
        <row r="10">
          <cell r="A10" t="str">
            <v>2Q10e</v>
          </cell>
        </row>
        <row r="11">
          <cell r="A11" t="str">
            <v>3Q10e</v>
          </cell>
          <cell r="D11" t="str">
            <v>Series 1</v>
          </cell>
          <cell r="AA11" t="str">
            <v>Series 1</v>
          </cell>
        </row>
        <row r="12">
          <cell r="A12" t="str">
            <v>4Q10e</v>
          </cell>
          <cell r="C12" t="str">
            <v>1Q08</v>
          </cell>
          <cell r="D12">
            <v>0.25041279669762639</v>
          </cell>
          <cell r="Z12" t="str">
            <v>1Q08</v>
          </cell>
          <cell r="AA12">
            <v>0.25041279669762639</v>
          </cell>
        </row>
        <row r="13">
          <cell r="C13" t="str">
            <v>2Q08</v>
          </cell>
          <cell r="D13">
            <v>0.31356336460486567</v>
          </cell>
          <cell r="Z13" t="str">
            <v>2Q08</v>
          </cell>
          <cell r="AA13">
            <v>0.31356336460486567</v>
          </cell>
        </row>
        <row r="14">
          <cell r="C14" t="str">
            <v>3Q08</v>
          </cell>
          <cell r="D14">
            <v>0.30647892775922969</v>
          </cell>
          <cell r="Z14" t="str">
            <v>3Q08</v>
          </cell>
          <cell r="AA14">
            <v>0.30647892775922969</v>
          </cell>
        </row>
        <row r="15">
          <cell r="C15" t="str">
            <v>4Q08</v>
          </cell>
          <cell r="D15">
            <v>0.3519735351429738</v>
          </cell>
          <cell r="Z15" t="str">
            <v>4Q08</v>
          </cell>
          <cell r="AA15">
            <v>0.3519735351429738</v>
          </cell>
        </row>
        <row r="16">
          <cell r="C16" t="str">
            <v>1Q09</v>
          </cell>
          <cell r="D16">
            <v>-0.21734824412990561</v>
          </cell>
          <cell r="Z16" t="str">
            <v>1Q09</v>
          </cell>
          <cell r="AA16">
            <v>-0.21734824412990561</v>
          </cell>
        </row>
        <row r="17">
          <cell r="C17" t="str">
            <v>2Q09</v>
          </cell>
          <cell r="D17">
            <v>-0.33757010854214575</v>
          </cell>
          <cell r="Z17" t="str">
            <v>2Q09</v>
          </cell>
          <cell r="AA17">
            <v>-0.33757010854214575</v>
          </cell>
        </row>
        <row r="18">
          <cell r="C18" t="str">
            <v>3Q09e</v>
          </cell>
          <cell r="D18">
            <v>-0.33520980704418368</v>
          </cell>
          <cell r="Z18" t="str">
            <v>3Q09e</v>
          </cell>
          <cell r="AA18">
            <v>-0.33520980704418368</v>
          </cell>
        </row>
        <row r="19">
          <cell r="C19" t="str">
            <v>4Q09e</v>
          </cell>
          <cell r="D19">
            <v>-0.32181403767513583</v>
          </cell>
          <cell r="Z19" t="str">
            <v>4Q09e</v>
          </cell>
          <cell r="AA19">
            <v>-0.32181403767513583</v>
          </cell>
        </row>
        <row r="20">
          <cell r="C20" t="str">
            <v>1Q10e</v>
          </cell>
          <cell r="D20">
            <v>4.4869766951386669E-2</v>
          </cell>
          <cell r="Z20" t="str">
            <v>1Q10e</v>
          </cell>
          <cell r="AA20">
            <v>4.4869766951386669E-2</v>
          </cell>
        </row>
        <row r="21">
          <cell r="C21" t="str">
            <v>2Q10e</v>
          </cell>
          <cell r="D21">
            <v>0.16543826521288918</v>
          </cell>
          <cell r="Z21" t="str">
            <v>2Q10e</v>
          </cell>
          <cell r="AA21">
            <v>0.16543826521288918</v>
          </cell>
        </row>
        <row r="22">
          <cell r="C22" t="str">
            <v>3Q10e</v>
          </cell>
          <cell r="D22">
            <v>5.6657381615598856E-2</v>
          </cell>
          <cell r="Z22" t="str">
            <v>3Q10e</v>
          </cell>
          <cell r="AA22">
            <v>5.6657381615598856E-2</v>
          </cell>
        </row>
        <row r="23">
          <cell r="C23" t="str">
            <v>4Q10e</v>
          </cell>
          <cell r="D23">
            <v>-5.683783917362728E-2</v>
          </cell>
          <cell r="Z23" t="str">
            <v>4Q10e</v>
          </cell>
          <cell r="AA23">
            <v>-5.683783917362728E-2</v>
          </cell>
        </row>
        <row r="24">
          <cell r="Z24" t="b">
            <v>0</v>
          </cell>
          <cell r="AA24" t="b">
            <v>0</v>
          </cell>
        </row>
        <row r="25">
          <cell r="Z25" t="b">
            <v>0</v>
          </cell>
          <cell r="AA25" t="b">
            <v>0</v>
          </cell>
        </row>
        <row r="26">
          <cell r="Z26" t="b">
            <v>0</v>
          </cell>
          <cell r="AA26" t="b">
            <v>0</v>
          </cell>
        </row>
        <row r="27">
          <cell r="Z27" t="b">
            <v>0</v>
          </cell>
          <cell r="AA27" t="b">
            <v>0</v>
          </cell>
        </row>
        <row r="28">
          <cell r="Z28" t="b">
            <v>0</v>
          </cell>
          <cell r="AA28" t="b">
            <v>0</v>
          </cell>
        </row>
        <row r="29">
          <cell r="Z29" t="b">
            <v>0</v>
          </cell>
          <cell r="AA29" t="b">
            <v>0</v>
          </cell>
        </row>
        <row r="30">
          <cell r="Z30" t="b">
            <v>0</v>
          </cell>
          <cell r="AA30" t="b">
            <v>0</v>
          </cell>
        </row>
        <row r="31">
          <cell r="Z31" t="b">
            <v>0</v>
          </cell>
          <cell r="AA31" t="b">
            <v>0</v>
          </cell>
        </row>
        <row r="32">
          <cell r="Z32" t="b">
            <v>0</v>
          </cell>
          <cell r="AA32" t="b">
            <v>0</v>
          </cell>
        </row>
        <row r="33">
          <cell r="Z33" t="b">
            <v>0</v>
          </cell>
          <cell r="AA33" t="b">
            <v>0</v>
          </cell>
        </row>
        <row r="34">
          <cell r="Z34" t="b">
            <v>0</v>
          </cell>
          <cell r="AA34" t="b">
            <v>0</v>
          </cell>
        </row>
        <row r="35">
          <cell r="Z35" t="b">
            <v>0</v>
          </cell>
          <cell r="AA35" t="b">
            <v>0</v>
          </cell>
        </row>
        <row r="36">
          <cell r="Z36" t="b">
            <v>0</v>
          </cell>
          <cell r="AA36" t="b">
            <v>0</v>
          </cell>
        </row>
        <row r="37">
          <cell r="Z37" t="b">
            <v>0</v>
          </cell>
          <cell r="AA37" t="b">
            <v>0</v>
          </cell>
        </row>
        <row r="38">
          <cell r="Z38" t="b">
            <v>0</v>
          </cell>
          <cell r="AA38" t="b">
            <v>0</v>
          </cell>
        </row>
        <row r="39">
          <cell r="Z39" t="b">
            <v>0</v>
          </cell>
          <cell r="AA39" t="b">
            <v>0</v>
          </cell>
        </row>
        <row r="40">
          <cell r="I40" t="str">
            <v>Do not change the width of the exhibit or font sizes (they are optimized for export to Word).</v>
          </cell>
          <cell r="Z40" t="b">
            <v>0</v>
          </cell>
          <cell r="AA40" t="b">
            <v>0</v>
          </cell>
        </row>
        <row r="41">
          <cell r="Z41" t="b">
            <v>0</v>
          </cell>
          <cell r="AA41" t="b">
            <v>0</v>
          </cell>
        </row>
        <row r="42">
          <cell r="I42" t="str">
            <v>Do not delete any rows or columns (some gray cells are used for calculations).</v>
          </cell>
          <cell r="Z42" t="b">
            <v>0</v>
          </cell>
          <cell r="AA42" t="b">
            <v>0</v>
          </cell>
        </row>
        <row r="43">
          <cell r="K43" t="str">
            <v xml:space="preserve"> </v>
          </cell>
          <cell r="Z43" t="b">
            <v>0</v>
          </cell>
          <cell r="AA43" t="b">
            <v>0</v>
          </cell>
        </row>
        <row r="44">
          <cell r="Z44" t="b">
            <v>0</v>
          </cell>
          <cell r="AA44" t="b">
            <v>0</v>
          </cell>
        </row>
        <row r="45">
          <cell r="Z45" t="b">
            <v>0</v>
          </cell>
          <cell r="AA45" t="b">
            <v>0</v>
          </cell>
        </row>
        <row r="46">
          <cell r="Z46" t="b">
            <v>0</v>
          </cell>
          <cell r="AA46" t="b">
            <v>0</v>
          </cell>
        </row>
        <row r="47">
          <cell r="Z47" t="b">
            <v>0</v>
          </cell>
          <cell r="AA47" t="b">
            <v>0</v>
          </cell>
        </row>
        <row r="48">
          <cell r="Z48" t="b">
            <v>0</v>
          </cell>
          <cell r="AA48" t="b">
            <v>0</v>
          </cell>
        </row>
        <row r="49">
          <cell r="Z49" t="b">
            <v>0</v>
          </cell>
          <cell r="AA49" t="b">
            <v>0</v>
          </cell>
        </row>
        <row r="50">
          <cell r="Z50" t="b">
            <v>0</v>
          </cell>
          <cell r="AA50" t="b">
            <v>0</v>
          </cell>
        </row>
        <row r="51">
          <cell r="Z51" t="b">
            <v>0</v>
          </cell>
          <cell r="AA51" t="b">
            <v>0</v>
          </cell>
        </row>
        <row r="52">
          <cell r="Z52" t="b">
            <v>0</v>
          </cell>
          <cell r="AA52" t="b">
            <v>0</v>
          </cell>
        </row>
        <row r="53">
          <cell r="Z53" t="b">
            <v>0</v>
          </cell>
          <cell r="AA53" t="b">
            <v>0</v>
          </cell>
        </row>
        <row r="54">
          <cell r="Z54" t="b">
            <v>0</v>
          </cell>
          <cell r="AA54" t="b">
            <v>0</v>
          </cell>
        </row>
        <row r="55">
          <cell r="Z55" t="b">
            <v>0</v>
          </cell>
          <cell r="AA55" t="b">
            <v>0</v>
          </cell>
        </row>
        <row r="56">
          <cell r="Z56" t="b">
            <v>0</v>
          </cell>
          <cell r="AA56" t="b">
            <v>0</v>
          </cell>
        </row>
        <row r="57">
          <cell r="Z57" t="b">
            <v>0</v>
          </cell>
          <cell r="AA57" t="b">
            <v>0</v>
          </cell>
        </row>
        <row r="58">
          <cell r="Z58" t="b">
            <v>0</v>
          </cell>
          <cell r="AA58" t="b">
            <v>0</v>
          </cell>
        </row>
        <row r="59">
          <cell r="Z59" t="b">
            <v>0</v>
          </cell>
          <cell r="AA59" t="b">
            <v>0</v>
          </cell>
        </row>
        <row r="60">
          <cell r="Z60" t="b">
            <v>0</v>
          </cell>
          <cell r="AA60" t="b">
            <v>0</v>
          </cell>
        </row>
        <row r="61">
          <cell r="Z61" t="b">
            <v>0</v>
          </cell>
          <cell r="AA61" t="b">
            <v>0</v>
          </cell>
        </row>
        <row r="62">
          <cell r="Z62" t="b">
            <v>0</v>
          </cell>
          <cell r="AA62" t="b">
            <v>0</v>
          </cell>
        </row>
        <row r="63">
          <cell r="Z63" t="b">
            <v>0</v>
          </cell>
          <cell r="AA63" t="b">
            <v>0</v>
          </cell>
        </row>
        <row r="64">
          <cell r="Z64" t="b">
            <v>0</v>
          </cell>
          <cell r="AA64" t="b">
            <v>0</v>
          </cell>
        </row>
        <row r="65">
          <cell r="Z65" t="b">
            <v>0</v>
          </cell>
          <cell r="AA65" t="b">
            <v>0</v>
          </cell>
        </row>
        <row r="66">
          <cell r="Z66" t="b">
            <v>0</v>
          </cell>
          <cell r="AA66" t="b">
            <v>0</v>
          </cell>
        </row>
        <row r="67">
          <cell r="Z67" t="b">
            <v>0</v>
          </cell>
          <cell r="AA67" t="b">
            <v>0</v>
          </cell>
        </row>
        <row r="68">
          <cell r="Z68" t="b">
            <v>0</v>
          </cell>
          <cell r="AA68" t="b">
            <v>0</v>
          </cell>
        </row>
        <row r="69">
          <cell r="Z69" t="b">
            <v>0</v>
          </cell>
          <cell r="AA69" t="b">
            <v>0</v>
          </cell>
        </row>
        <row r="70">
          <cell r="J70" t="str">
            <v>M</v>
          </cell>
          <cell r="Z70" t="b">
            <v>0</v>
          </cell>
          <cell r="AA70" t="b">
            <v>0</v>
          </cell>
        </row>
        <row r="71">
          <cell r="Z71" t="b">
            <v>0</v>
          </cell>
          <cell r="AA71" t="b">
            <v>0</v>
          </cell>
        </row>
        <row r="72">
          <cell r="Z72" t="b">
            <v>0</v>
          </cell>
          <cell r="AA72" t="b">
            <v>0</v>
          </cell>
        </row>
        <row r="73">
          <cell r="Z73" t="b">
            <v>0</v>
          </cell>
          <cell r="AA73" t="b">
            <v>0</v>
          </cell>
        </row>
        <row r="74">
          <cell r="Z74" t="b">
            <v>0</v>
          </cell>
          <cell r="AA74" t="b">
            <v>0</v>
          </cell>
        </row>
        <row r="75">
          <cell r="Z75" t="b">
            <v>0</v>
          </cell>
          <cell r="AA75" t="b">
            <v>0</v>
          </cell>
        </row>
        <row r="76">
          <cell r="Z76" t="b">
            <v>0</v>
          </cell>
          <cell r="AA76" t="b">
            <v>0</v>
          </cell>
        </row>
        <row r="77">
          <cell r="Z77" t="b">
            <v>0</v>
          </cell>
          <cell r="AA77" t="b">
            <v>0</v>
          </cell>
        </row>
        <row r="78">
          <cell r="Z78" t="b">
            <v>0</v>
          </cell>
          <cell r="AA78" t="b">
            <v>0</v>
          </cell>
        </row>
        <row r="79">
          <cell r="Z79" t="b">
            <v>0</v>
          </cell>
          <cell r="AA79" t="b">
            <v>0</v>
          </cell>
        </row>
        <row r="80">
          <cell r="Z80" t="b">
            <v>0</v>
          </cell>
          <cell r="AA80" t="b">
            <v>0</v>
          </cell>
        </row>
        <row r="81">
          <cell r="Z81" t="b">
            <v>0</v>
          </cell>
          <cell r="AA81" t="b">
            <v>0</v>
          </cell>
        </row>
        <row r="82">
          <cell r="Z82" t="b">
            <v>0</v>
          </cell>
          <cell r="AA82" t="b">
            <v>0</v>
          </cell>
        </row>
        <row r="83">
          <cell r="Z83" t="b">
            <v>0</v>
          </cell>
          <cell r="AA83" t="b">
            <v>0</v>
          </cell>
        </row>
        <row r="84">
          <cell r="Z84" t="b">
            <v>0</v>
          </cell>
          <cell r="AA84" t="b">
            <v>0</v>
          </cell>
        </row>
        <row r="85">
          <cell r="Z85" t="b">
            <v>0</v>
          </cell>
          <cell r="AA85" t="b">
            <v>0</v>
          </cell>
        </row>
        <row r="86">
          <cell r="Z86" t="b">
            <v>0</v>
          </cell>
          <cell r="AA86" t="b">
            <v>0</v>
          </cell>
        </row>
        <row r="87">
          <cell r="Z87" t="b">
            <v>0</v>
          </cell>
          <cell r="AA87" t="b">
            <v>0</v>
          </cell>
        </row>
        <row r="88">
          <cell r="Z88" t="b">
            <v>0</v>
          </cell>
          <cell r="AA88" t="b">
            <v>0</v>
          </cell>
        </row>
        <row r="89">
          <cell r="Z89" t="b">
            <v>0</v>
          </cell>
          <cell r="AA89" t="b">
            <v>0</v>
          </cell>
        </row>
        <row r="90">
          <cell r="Z90" t="b">
            <v>0</v>
          </cell>
          <cell r="AA90" t="b">
            <v>0</v>
          </cell>
        </row>
        <row r="91">
          <cell r="Z91" t="b">
            <v>0</v>
          </cell>
          <cell r="AA91" t="b">
            <v>0</v>
          </cell>
        </row>
        <row r="92">
          <cell r="Z92" t="b">
            <v>0</v>
          </cell>
          <cell r="AA92" t="b">
            <v>0</v>
          </cell>
        </row>
        <row r="93">
          <cell r="Z93" t="b">
            <v>0</v>
          </cell>
          <cell r="AA93" t="b">
            <v>0</v>
          </cell>
        </row>
        <row r="94">
          <cell r="Z94" t="b">
            <v>0</v>
          </cell>
          <cell r="AA94" t="b">
            <v>0</v>
          </cell>
        </row>
        <row r="95">
          <cell r="Z95" t="b">
            <v>0</v>
          </cell>
          <cell r="AA95" t="b">
            <v>0</v>
          </cell>
        </row>
        <row r="96">
          <cell r="Z96" t="b">
            <v>0</v>
          </cell>
          <cell r="AA96" t="b">
            <v>0</v>
          </cell>
        </row>
        <row r="97">
          <cell r="Z97" t="b">
            <v>0</v>
          </cell>
          <cell r="AA97" t="b">
            <v>0</v>
          </cell>
        </row>
        <row r="98">
          <cell r="Z98" t="b">
            <v>0</v>
          </cell>
          <cell r="AA98" t="b">
            <v>0</v>
          </cell>
        </row>
        <row r="99">
          <cell r="Z99" t="b">
            <v>0</v>
          </cell>
          <cell r="AA99" t="b">
            <v>0</v>
          </cell>
        </row>
        <row r="100">
          <cell r="Z100" t="b">
            <v>0</v>
          </cell>
          <cell r="AA100" t="b">
            <v>0</v>
          </cell>
        </row>
        <row r="101">
          <cell r="Z101" t="b">
            <v>0</v>
          </cell>
          <cell r="AA101" t="b">
            <v>0</v>
          </cell>
        </row>
        <row r="102">
          <cell r="Z102" t="b">
            <v>0</v>
          </cell>
          <cell r="AA102" t="b">
            <v>0</v>
          </cell>
        </row>
        <row r="103">
          <cell r="Z103" t="b">
            <v>0</v>
          </cell>
          <cell r="AA103" t="b">
            <v>0</v>
          </cell>
        </row>
        <row r="104">
          <cell r="Z104" t="b">
            <v>0</v>
          </cell>
          <cell r="AA104" t="b">
            <v>0</v>
          </cell>
        </row>
        <row r="105">
          <cell r="Z105" t="b">
            <v>0</v>
          </cell>
          <cell r="AA105" t="b">
            <v>0</v>
          </cell>
        </row>
        <row r="106">
          <cell r="Z106" t="b">
            <v>0</v>
          </cell>
          <cell r="AA106" t="b">
            <v>0</v>
          </cell>
        </row>
        <row r="107">
          <cell r="Z107" t="b">
            <v>0</v>
          </cell>
          <cell r="AA107" t="b">
            <v>0</v>
          </cell>
        </row>
        <row r="108">
          <cell r="Z108" t="b">
            <v>0</v>
          </cell>
          <cell r="AA108" t="b">
            <v>0</v>
          </cell>
        </row>
        <row r="109">
          <cell r="Z109" t="b">
            <v>0</v>
          </cell>
          <cell r="AA109" t="b">
            <v>0</v>
          </cell>
        </row>
        <row r="110">
          <cell r="Z110" t="b">
            <v>0</v>
          </cell>
          <cell r="AA110" t="b">
            <v>0</v>
          </cell>
        </row>
        <row r="111">
          <cell r="Z111" t="b">
            <v>0</v>
          </cell>
          <cell r="AA111" t="b">
            <v>0</v>
          </cell>
        </row>
        <row r="112">
          <cell r="Z112" t="b">
            <v>0</v>
          </cell>
          <cell r="AA112" t="b">
            <v>0</v>
          </cell>
        </row>
        <row r="113">
          <cell r="Z113" t="b">
            <v>0</v>
          </cell>
          <cell r="AA113" t="b">
            <v>0</v>
          </cell>
        </row>
        <row r="114">
          <cell r="Z114" t="b">
            <v>0</v>
          </cell>
          <cell r="AA114" t="b">
            <v>0</v>
          </cell>
        </row>
        <row r="115">
          <cell r="Z115" t="b">
            <v>0</v>
          </cell>
          <cell r="AA115" t="b">
            <v>0</v>
          </cell>
        </row>
        <row r="116">
          <cell r="Z116" t="b">
            <v>0</v>
          </cell>
          <cell r="AA116" t="b">
            <v>0</v>
          </cell>
        </row>
        <row r="117">
          <cell r="Z117" t="b">
            <v>0</v>
          </cell>
          <cell r="AA117" t="b">
            <v>0</v>
          </cell>
        </row>
        <row r="118">
          <cell r="Z118" t="b">
            <v>0</v>
          </cell>
          <cell r="AA118" t="b">
            <v>0</v>
          </cell>
        </row>
        <row r="119">
          <cell r="Z119" t="b">
            <v>0</v>
          </cell>
          <cell r="AA119" t="b">
            <v>0</v>
          </cell>
        </row>
        <row r="120">
          <cell r="Z120" t="b">
            <v>0</v>
          </cell>
          <cell r="AA120" t="b">
            <v>0</v>
          </cell>
        </row>
        <row r="121">
          <cell r="Z121" t="b">
            <v>0</v>
          </cell>
          <cell r="AA121" t="b">
            <v>0</v>
          </cell>
        </row>
        <row r="122">
          <cell r="Z122" t="b">
            <v>0</v>
          </cell>
          <cell r="AA122" t="b">
            <v>0</v>
          </cell>
        </row>
        <row r="123">
          <cell r="Z123" t="b">
            <v>0</v>
          </cell>
          <cell r="AA123" t="b">
            <v>0</v>
          </cell>
        </row>
        <row r="124">
          <cell r="Z124" t="b">
            <v>0</v>
          </cell>
          <cell r="AA124" t="b">
            <v>0</v>
          </cell>
        </row>
        <row r="125">
          <cell r="Z125" t="b">
            <v>0</v>
          </cell>
          <cell r="AA125" t="b">
            <v>0</v>
          </cell>
        </row>
        <row r="126">
          <cell r="Z126" t="b">
            <v>0</v>
          </cell>
          <cell r="AA126" t="b">
            <v>0</v>
          </cell>
        </row>
        <row r="127">
          <cell r="Z127" t="b">
            <v>0</v>
          </cell>
          <cell r="AA127" t="b">
            <v>0</v>
          </cell>
        </row>
        <row r="128">
          <cell r="Z128" t="b">
            <v>0</v>
          </cell>
          <cell r="AA128" t="b">
            <v>0</v>
          </cell>
        </row>
        <row r="129">
          <cell r="Z129" t="b">
            <v>0</v>
          </cell>
          <cell r="AA129" t="b">
            <v>0</v>
          </cell>
        </row>
        <row r="130">
          <cell r="Z130" t="b">
            <v>0</v>
          </cell>
          <cell r="AA130" t="b">
            <v>0</v>
          </cell>
        </row>
        <row r="131">
          <cell r="Z131" t="b">
            <v>0</v>
          </cell>
          <cell r="AA131" t="b">
            <v>0</v>
          </cell>
        </row>
        <row r="132">
          <cell r="Z132" t="b">
            <v>0</v>
          </cell>
          <cell r="AA132" t="b">
            <v>0</v>
          </cell>
        </row>
        <row r="133">
          <cell r="Z133" t="b">
            <v>0</v>
          </cell>
          <cell r="AA133" t="b">
            <v>0</v>
          </cell>
        </row>
        <row r="134">
          <cell r="Z134" t="b">
            <v>0</v>
          </cell>
          <cell r="AA134" t="b">
            <v>0</v>
          </cell>
        </row>
        <row r="135">
          <cell r="Z135" t="b">
            <v>0</v>
          </cell>
          <cell r="AA135" t="b">
            <v>0</v>
          </cell>
        </row>
        <row r="136">
          <cell r="Z136" t="b">
            <v>0</v>
          </cell>
          <cell r="AA136" t="b">
            <v>0</v>
          </cell>
        </row>
        <row r="137">
          <cell r="Z137" t="b">
            <v>0</v>
          </cell>
          <cell r="AA137" t="b">
            <v>0</v>
          </cell>
        </row>
        <row r="138">
          <cell r="Z138" t="b">
            <v>0</v>
          </cell>
          <cell r="AA138" t="b">
            <v>0</v>
          </cell>
        </row>
        <row r="139">
          <cell r="Z139" t="b">
            <v>0</v>
          </cell>
          <cell r="AA139" t="b">
            <v>0</v>
          </cell>
        </row>
        <row r="140">
          <cell r="Z140" t="b">
            <v>0</v>
          </cell>
          <cell r="AA140" t="b">
            <v>0</v>
          </cell>
        </row>
        <row r="141">
          <cell r="Z141" t="b">
            <v>0</v>
          </cell>
          <cell r="AA141" t="b">
            <v>0</v>
          </cell>
        </row>
        <row r="142">
          <cell r="Z142" t="b">
            <v>0</v>
          </cell>
          <cell r="AA142" t="b">
            <v>0</v>
          </cell>
        </row>
        <row r="143">
          <cell r="Z143" t="b">
            <v>0</v>
          </cell>
          <cell r="AA143" t="b">
            <v>0</v>
          </cell>
        </row>
        <row r="144">
          <cell r="Z144" t="b">
            <v>0</v>
          </cell>
          <cell r="AA144" t="b">
            <v>0</v>
          </cell>
        </row>
        <row r="145">
          <cell r="Z145" t="b">
            <v>0</v>
          </cell>
          <cell r="AA145" t="b">
            <v>0</v>
          </cell>
        </row>
        <row r="146">
          <cell r="Z146" t="b">
            <v>0</v>
          </cell>
          <cell r="AA146" t="b">
            <v>0</v>
          </cell>
        </row>
        <row r="147">
          <cell r="Z147" t="b">
            <v>0</v>
          </cell>
          <cell r="AA147" t="b">
            <v>0</v>
          </cell>
        </row>
        <row r="148">
          <cell r="Z148" t="b">
            <v>0</v>
          </cell>
          <cell r="AA148" t="b">
            <v>0</v>
          </cell>
        </row>
        <row r="149">
          <cell r="Z149" t="b">
            <v>0</v>
          </cell>
          <cell r="AA149" t="b">
            <v>0</v>
          </cell>
        </row>
        <row r="150">
          <cell r="Z150" t="b">
            <v>0</v>
          </cell>
          <cell r="AA150" t="b">
            <v>0</v>
          </cell>
        </row>
        <row r="151">
          <cell r="Z151" t="b">
            <v>0</v>
          </cell>
          <cell r="AA151" t="b">
            <v>0</v>
          </cell>
        </row>
        <row r="152">
          <cell r="Z152" t="b">
            <v>0</v>
          </cell>
          <cell r="AA152" t="b">
            <v>0</v>
          </cell>
        </row>
        <row r="153">
          <cell r="Z153" t="b">
            <v>0</v>
          </cell>
          <cell r="AA153" t="b">
            <v>0</v>
          </cell>
        </row>
        <row r="154">
          <cell r="Z154" t="b">
            <v>0</v>
          </cell>
          <cell r="AA154" t="b">
            <v>0</v>
          </cell>
        </row>
        <row r="155">
          <cell r="Z155" t="b">
            <v>0</v>
          </cell>
          <cell r="AA155" t="b">
            <v>0</v>
          </cell>
        </row>
        <row r="156">
          <cell r="Z156" t="b">
            <v>0</v>
          </cell>
          <cell r="AA156" t="b">
            <v>0</v>
          </cell>
        </row>
        <row r="157">
          <cell r="Z157" t="b">
            <v>0</v>
          </cell>
          <cell r="AA157" t="b">
            <v>0</v>
          </cell>
        </row>
        <row r="158">
          <cell r="Z158" t="b">
            <v>0</v>
          </cell>
          <cell r="AA158" t="b">
            <v>0</v>
          </cell>
        </row>
        <row r="159">
          <cell r="Z159" t="b">
            <v>0</v>
          </cell>
          <cell r="AA159" t="b">
            <v>0</v>
          </cell>
        </row>
        <row r="160">
          <cell r="Z160" t="b">
            <v>0</v>
          </cell>
          <cell r="AA160" t="b">
            <v>0</v>
          </cell>
        </row>
        <row r="161">
          <cell r="Z161" t="b">
            <v>0</v>
          </cell>
          <cell r="AA161" t="b">
            <v>0</v>
          </cell>
        </row>
        <row r="162">
          <cell r="Z162" t="b">
            <v>0</v>
          </cell>
          <cell r="AA162" t="b">
            <v>0</v>
          </cell>
        </row>
        <row r="163">
          <cell r="Z163" t="b">
            <v>0</v>
          </cell>
          <cell r="AA163" t="b">
            <v>0</v>
          </cell>
        </row>
        <row r="164">
          <cell r="Z164" t="b">
            <v>0</v>
          </cell>
          <cell r="AA164" t="b">
            <v>0</v>
          </cell>
        </row>
        <row r="165">
          <cell r="Z165" t="b">
            <v>0</v>
          </cell>
          <cell r="AA165" t="b">
            <v>0</v>
          </cell>
        </row>
        <row r="166">
          <cell r="Z166" t="b">
            <v>0</v>
          </cell>
          <cell r="AA166" t="b">
            <v>0</v>
          </cell>
        </row>
        <row r="167">
          <cell r="Z167" t="b">
            <v>0</v>
          </cell>
          <cell r="AA167" t="b">
            <v>0</v>
          </cell>
        </row>
        <row r="168">
          <cell r="Z168" t="b">
            <v>0</v>
          </cell>
          <cell r="AA168" t="b">
            <v>0</v>
          </cell>
        </row>
        <row r="169">
          <cell r="Z169" t="b">
            <v>0</v>
          </cell>
          <cell r="AA169" t="b">
            <v>0</v>
          </cell>
        </row>
        <row r="170">
          <cell r="Z170" t="b">
            <v>0</v>
          </cell>
          <cell r="AA170" t="b">
            <v>0</v>
          </cell>
        </row>
        <row r="171">
          <cell r="Z171" t="b">
            <v>0</v>
          </cell>
          <cell r="AA171" t="b">
            <v>0</v>
          </cell>
        </row>
        <row r="172">
          <cell r="Z172" t="b">
            <v>0</v>
          </cell>
          <cell r="AA172" t="b">
            <v>0</v>
          </cell>
        </row>
        <row r="173">
          <cell r="Z173" t="b">
            <v>0</v>
          </cell>
          <cell r="AA173" t="b">
            <v>0</v>
          </cell>
        </row>
        <row r="174">
          <cell r="Z174" t="b">
            <v>0</v>
          </cell>
          <cell r="AA174" t="b">
            <v>0</v>
          </cell>
        </row>
        <row r="175">
          <cell r="Z175" t="b">
            <v>0</v>
          </cell>
          <cell r="AA175" t="b">
            <v>0</v>
          </cell>
        </row>
        <row r="176">
          <cell r="Z176" t="b">
            <v>0</v>
          </cell>
          <cell r="AA176" t="b">
            <v>0</v>
          </cell>
        </row>
        <row r="177">
          <cell r="Z177" t="b">
            <v>0</v>
          </cell>
          <cell r="AA177" t="b">
            <v>0</v>
          </cell>
        </row>
        <row r="178">
          <cell r="Z178" t="b">
            <v>0</v>
          </cell>
          <cell r="AA178" t="b">
            <v>0</v>
          </cell>
        </row>
        <row r="179">
          <cell r="Z179" t="b">
            <v>0</v>
          </cell>
          <cell r="AA179" t="b">
            <v>0</v>
          </cell>
        </row>
        <row r="180">
          <cell r="Z180" t="b">
            <v>0</v>
          </cell>
          <cell r="AA180" t="b">
            <v>0</v>
          </cell>
        </row>
        <row r="181">
          <cell r="Z181" t="b">
            <v>0</v>
          </cell>
          <cell r="AA181" t="b">
            <v>0</v>
          </cell>
        </row>
        <row r="182">
          <cell r="Z182" t="b">
            <v>0</v>
          </cell>
          <cell r="AA182" t="b">
            <v>0</v>
          </cell>
        </row>
        <row r="183">
          <cell r="Z183" t="b">
            <v>0</v>
          </cell>
          <cell r="AA183" t="b">
            <v>0</v>
          </cell>
        </row>
        <row r="184">
          <cell r="Z184" t="b">
            <v>0</v>
          </cell>
          <cell r="AA184" t="b">
            <v>0</v>
          </cell>
        </row>
        <row r="185">
          <cell r="Z185" t="b">
            <v>0</v>
          </cell>
          <cell r="AA185" t="b">
            <v>0</v>
          </cell>
        </row>
        <row r="186">
          <cell r="Z186" t="b">
            <v>0</v>
          </cell>
          <cell r="AA186" t="b">
            <v>0</v>
          </cell>
        </row>
        <row r="187">
          <cell r="Z187" t="b">
            <v>0</v>
          </cell>
          <cell r="AA187" t="b">
            <v>0</v>
          </cell>
        </row>
        <row r="188">
          <cell r="Z188" t="b">
            <v>0</v>
          </cell>
          <cell r="AA188" t="b">
            <v>0</v>
          </cell>
        </row>
        <row r="189">
          <cell r="Z189" t="b">
            <v>0</v>
          </cell>
          <cell r="AA189" t="b">
            <v>0</v>
          </cell>
        </row>
        <row r="190">
          <cell r="Z190" t="b">
            <v>0</v>
          </cell>
          <cell r="AA190" t="b">
            <v>0</v>
          </cell>
        </row>
        <row r="191">
          <cell r="Z191" t="b">
            <v>0</v>
          </cell>
          <cell r="AA191" t="b">
            <v>0</v>
          </cell>
        </row>
        <row r="192">
          <cell r="Z192" t="b">
            <v>0</v>
          </cell>
          <cell r="AA192" t="b">
            <v>0</v>
          </cell>
        </row>
        <row r="193">
          <cell r="Z193" t="b">
            <v>0</v>
          </cell>
          <cell r="AA193" t="b">
            <v>0</v>
          </cell>
        </row>
        <row r="194">
          <cell r="Z194" t="b">
            <v>0</v>
          </cell>
          <cell r="AA194" t="b">
            <v>0</v>
          </cell>
        </row>
        <row r="195">
          <cell r="Z195" t="b">
            <v>0</v>
          </cell>
          <cell r="AA195" t="b">
            <v>0</v>
          </cell>
        </row>
        <row r="196">
          <cell r="Z196" t="b">
            <v>0</v>
          </cell>
          <cell r="AA196" t="b">
            <v>0</v>
          </cell>
        </row>
        <row r="197">
          <cell r="Z197" t="b">
            <v>0</v>
          </cell>
          <cell r="AA197" t="b">
            <v>0</v>
          </cell>
        </row>
        <row r="198">
          <cell r="Z198" t="b">
            <v>0</v>
          </cell>
          <cell r="AA198" t="b">
            <v>0</v>
          </cell>
        </row>
        <row r="199">
          <cell r="Z199" t="b">
            <v>0</v>
          </cell>
          <cell r="AA199" t="b">
            <v>0</v>
          </cell>
        </row>
        <row r="200">
          <cell r="Z200" t="b">
            <v>0</v>
          </cell>
          <cell r="AA200" t="b">
            <v>0</v>
          </cell>
        </row>
        <row r="201">
          <cell r="Z201" t="b">
            <v>0</v>
          </cell>
          <cell r="AA201" t="b">
            <v>0</v>
          </cell>
        </row>
        <row r="202">
          <cell r="Z202" t="b">
            <v>0</v>
          </cell>
          <cell r="AA202" t="b">
            <v>0</v>
          </cell>
        </row>
        <row r="203">
          <cell r="Z203" t="b">
            <v>0</v>
          </cell>
          <cell r="AA203" t="b">
            <v>0</v>
          </cell>
        </row>
        <row r="204">
          <cell r="Z204" t="b">
            <v>0</v>
          </cell>
          <cell r="AA204" t="b">
            <v>0</v>
          </cell>
        </row>
        <row r="205">
          <cell r="Z205" t="b">
            <v>0</v>
          </cell>
          <cell r="AA205" t="b">
            <v>0</v>
          </cell>
        </row>
        <row r="206">
          <cell r="Z206" t="b">
            <v>0</v>
          </cell>
          <cell r="AA206" t="b">
            <v>0</v>
          </cell>
        </row>
        <row r="207">
          <cell r="Z207" t="b">
            <v>0</v>
          </cell>
          <cell r="AA207" t="b">
            <v>0</v>
          </cell>
        </row>
        <row r="208">
          <cell r="Z208" t="b">
            <v>0</v>
          </cell>
          <cell r="AA208" t="b">
            <v>0</v>
          </cell>
        </row>
        <row r="209">
          <cell r="Z209" t="b">
            <v>0</v>
          </cell>
          <cell r="AA209" t="b">
            <v>0</v>
          </cell>
        </row>
        <row r="210">
          <cell r="Z210" t="b">
            <v>0</v>
          </cell>
          <cell r="AA210" t="b">
            <v>0</v>
          </cell>
        </row>
        <row r="211">
          <cell r="Z211" t="b">
            <v>0</v>
          </cell>
          <cell r="AA211" t="b">
            <v>0</v>
          </cell>
        </row>
        <row r="212">
          <cell r="Z212" t="b">
            <v>0</v>
          </cell>
          <cell r="AA212" t="b">
            <v>0</v>
          </cell>
        </row>
        <row r="213">
          <cell r="Z213" t="b">
            <v>0</v>
          </cell>
          <cell r="AA213" t="b">
            <v>0</v>
          </cell>
        </row>
        <row r="214">
          <cell r="Z214" t="b">
            <v>0</v>
          </cell>
          <cell r="AA214" t="b">
            <v>0</v>
          </cell>
        </row>
        <row r="215">
          <cell r="Z215" t="b">
            <v>0</v>
          </cell>
          <cell r="AA215" t="b">
            <v>0</v>
          </cell>
        </row>
        <row r="216">
          <cell r="Z216" t="b">
            <v>0</v>
          </cell>
          <cell r="AA216" t="b">
            <v>0</v>
          </cell>
        </row>
        <row r="217">
          <cell r="Z217" t="b">
            <v>0</v>
          </cell>
          <cell r="AA217" t="b">
            <v>0</v>
          </cell>
        </row>
        <row r="218">
          <cell r="Z218" t="b">
            <v>0</v>
          </cell>
          <cell r="AA218" t="b">
            <v>0</v>
          </cell>
        </row>
        <row r="219">
          <cell r="Z219" t="b">
            <v>0</v>
          </cell>
          <cell r="AA219" t="b">
            <v>0</v>
          </cell>
        </row>
        <row r="220">
          <cell r="Z220" t="b">
            <v>0</v>
          </cell>
          <cell r="AA220" t="b">
            <v>0</v>
          </cell>
        </row>
        <row r="221">
          <cell r="Z221" t="b">
            <v>0</v>
          </cell>
          <cell r="AA221" t="b">
            <v>0</v>
          </cell>
        </row>
        <row r="222">
          <cell r="Z222" t="b">
            <v>0</v>
          </cell>
          <cell r="AA222" t="b">
            <v>0</v>
          </cell>
        </row>
        <row r="223">
          <cell r="Z223" t="b">
            <v>0</v>
          </cell>
          <cell r="AA223" t="b">
            <v>0</v>
          </cell>
        </row>
        <row r="224">
          <cell r="Z224" t="b">
            <v>0</v>
          </cell>
          <cell r="AA224" t="b">
            <v>0</v>
          </cell>
        </row>
        <row r="225">
          <cell r="Z225" t="b">
            <v>0</v>
          </cell>
          <cell r="AA225" t="b">
            <v>0</v>
          </cell>
        </row>
        <row r="226">
          <cell r="Z226" t="b">
            <v>0</v>
          </cell>
          <cell r="AA226" t="b">
            <v>0</v>
          </cell>
        </row>
        <row r="227">
          <cell r="Z227" t="b">
            <v>0</v>
          </cell>
          <cell r="AA227" t="b">
            <v>0</v>
          </cell>
        </row>
        <row r="228">
          <cell r="Z228" t="b">
            <v>0</v>
          </cell>
          <cell r="AA228" t="b">
            <v>0</v>
          </cell>
        </row>
        <row r="229">
          <cell r="Z229" t="b">
            <v>0</v>
          </cell>
          <cell r="AA229" t="b">
            <v>0</v>
          </cell>
        </row>
        <row r="230">
          <cell r="Z230" t="b">
            <v>0</v>
          </cell>
          <cell r="AA230" t="b">
            <v>0</v>
          </cell>
        </row>
        <row r="231">
          <cell r="Z231" t="b">
            <v>0</v>
          </cell>
          <cell r="AA231" t="b">
            <v>0</v>
          </cell>
        </row>
        <row r="232">
          <cell r="Z232" t="b">
            <v>0</v>
          </cell>
          <cell r="AA232" t="b">
            <v>0</v>
          </cell>
        </row>
        <row r="233">
          <cell r="Z233" t="b">
            <v>0</v>
          </cell>
          <cell r="AA233" t="b">
            <v>0</v>
          </cell>
        </row>
        <row r="234">
          <cell r="Z234" t="b">
            <v>0</v>
          </cell>
          <cell r="AA234" t="b">
            <v>0</v>
          </cell>
        </row>
        <row r="235">
          <cell r="Z235" t="b">
            <v>0</v>
          </cell>
          <cell r="AA235" t="b">
            <v>0</v>
          </cell>
        </row>
        <row r="236">
          <cell r="Z236" t="b">
            <v>0</v>
          </cell>
          <cell r="AA236" t="b">
            <v>0</v>
          </cell>
        </row>
        <row r="237">
          <cell r="Z237" t="b">
            <v>0</v>
          </cell>
          <cell r="AA237" t="b">
            <v>0</v>
          </cell>
        </row>
        <row r="238">
          <cell r="Z238" t="b">
            <v>0</v>
          </cell>
          <cell r="AA238" t="b">
            <v>0</v>
          </cell>
        </row>
        <row r="239">
          <cell r="Z239" t="b">
            <v>0</v>
          </cell>
          <cell r="AA239" t="b">
            <v>0</v>
          </cell>
        </row>
        <row r="240">
          <cell r="Z240" t="b">
            <v>0</v>
          </cell>
          <cell r="AA240" t="b">
            <v>0</v>
          </cell>
        </row>
        <row r="241">
          <cell r="Z241" t="b">
            <v>0</v>
          </cell>
          <cell r="AA241" t="b">
            <v>0</v>
          </cell>
        </row>
        <row r="242">
          <cell r="Z242" t="b">
            <v>0</v>
          </cell>
          <cell r="AA242" t="b">
            <v>0</v>
          </cell>
        </row>
        <row r="243">
          <cell r="Z243" t="b">
            <v>0</v>
          </cell>
          <cell r="AA243" t="b">
            <v>0</v>
          </cell>
        </row>
        <row r="244">
          <cell r="Z244" t="b">
            <v>0</v>
          </cell>
          <cell r="AA244" t="b">
            <v>0</v>
          </cell>
        </row>
        <row r="245">
          <cell r="Z245" t="b">
            <v>0</v>
          </cell>
          <cell r="AA245" t="b">
            <v>0</v>
          </cell>
        </row>
        <row r="246">
          <cell r="Z246" t="b">
            <v>0</v>
          </cell>
          <cell r="AA246" t="b">
            <v>0</v>
          </cell>
        </row>
        <row r="247">
          <cell r="Z247" t="b">
            <v>0</v>
          </cell>
          <cell r="AA247" t="b">
            <v>0</v>
          </cell>
        </row>
        <row r="248">
          <cell r="Z248" t="b">
            <v>0</v>
          </cell>
          <cell r="AA248" t="b">
            <v>0</v>
          </cell>
        </row>
        <row r="249">
          <cell r="Z249" t="b">
            <v>0</v>
          </cell>
          <cell r="AA249" t="b">
            <v>0</v>
          </cell>
        </row>
        <row r="250">
          <cell r="Z250" t="b">
            <v>0</v>
          </cell>
          <cell r="AA250" t="b">
            <v>0</v>
          </cell>
        </row>
        <row r="251">
          <cell r="Z251" t="b">
            <v>0</v>
          </cell>
          <cell r="AA251" t="b">
            <v>0</v>
          </cell>
        </row>
        <row r="252">
          <cell r="Z252" t="b">
            <v>0</v>
          </cell>
          <cell r="AA252" t="b">
            <v>0</v>
          </cell>
        </row>
        <row r="253">
          <cell r="Z253" t="b">
            <v>0</v>
          </cell>
          <cell r="AA253" t="b">
            <v>0</v>
          </cell>
        </row>
        <row r="254">
          <cell r="Z254" t="b">
            <v>0</v>
          </cell>
          <cell r="AA254" t="b">
            <v>0</v>
          </cell>
        </row>
        <row r="255">
          <cell r="Z255" t="b">
            <v>0</v>
          </cell>
          <cell r="AA255" t="b">
            <v>0</v>
          </cell>
        </row>
        <row r="256">
          <cell r="Z256" t="b">
            <v>0</v>
          </cell>
          <cell r="AA256" t="b">
            <v>0</v>
          </cell>
        </row>
        <row r="257">
          <cell r="Z257" t="b">
            <v>0</v>
          </cell>
          <cell r="AA257" t="b">
            <v>0</v>
          </cell>
        </row>
        <row r="258">
          <cell r="Z258" t="b">
            <v>0</v>
          </cell>
          <cell r="AA258" t="b">
            <v>0</v>
          </cell>
        </row>
        <row r="259">
          <cell r="Z259" t="b">
            <v>0</v>
          </cell>
          <cell r="AA259" t="b">
            <v>0</v>
          </cell>
        </row>
        <row r="260">
          <cell r="Z260" t="b">
            <v>0</v>
          </cell>
          <cell r="AA260" t="b">
            <v>0</v>
          </cell>
        </row>
        <row r="261">
          <cell r="Z261" t="b">
            <v>0</v>
          </cell>
          <cell r="AA261" t="b">
            <v>0</v>
          </cell>
        </row>
        <row r="262">
          <cell r="Z262" t="b">
            <v>0</v>
          </cell>
          <cell r="AA262" t="b">
            <v>0</v>
          </cell>
        </row>
        <row r="263">
          <cell r="Z263" t="b">
            <v>0</v>
          </cell>
          <cell r="AA263" t="b">
            <v>0</v>
          </cell>
        </row>
        <row r="264">
          <cell r="Z264" t="b">
            <v>0</v>
          </cell>
          <cell r="AA264" t="b">
            <v>0</v>
          </cell>
        </row>
        <row r="265">
          <cell r="Z265" t="b">
            <v>0</v>
          </cell>
          <cell r="AA265" t="b">
            <v>0</v>
          </cell>
        </row>
        <row r="266">
          <cell r="Z266" t="b">
            <v>0</v>
          </cell>
          <cell r="AA266" t="b">
            <v>0</v>
          </cell>
        </row>
        <row r="267">
          <cell r="Z267" t="b">
            <v>0</v>
          </cell>
          <cell r="AA267" t="b">
            <v>0</v>
          </cell>
        </row>
        <row r="268">
          <cell r="Z268" t="b">
            <v>0</v>
          </cell>
          <cell r="AA268" t="b">
            <v>0</v>
          </cell>
        </row>
        <row r="269">
          <cell r="Z269" t="b">
            <v>0</v>
          </cell>
          <cell r="AA269" t="b">
            <v>0</v>
          </cell>
        </row>
        <row r="270">
          <cell r="Z270" t="b">
            <v>0</v>
          </cell>
          <cell r="AA270" t="b">
            <v>0</v>
          </cell>
        </row>
        <row r="271">
          <cell r="Z271" t="b">
            <v>0</v>
          </cell>
          <cell r="AA271" t="b">
            <v>0</v>
          </cell>
        </row>
        <row r="272">
          <cell r="Z272" t="b">
            <v>0</v>
          </cell>
          <cell r="AA272" t="b">
            <v>0</v>
          </cell>
        </row>
        <row r="273">
          <cell r="Z273" t="b">
            <v>0</v>
          </cell>
          <cell r="AA273" t="b">
            <v>0</v>
          </cell>
        </row>
        <row r="274">
          <cell r="Z274" t="b">
            <v>0</v>
          </cell>
          <cell r="AA274" t="b">
            <v>0</v>
          </cell>
        </row>
        <row r="275">
          <cell r="Z275" t="b">
            <v>0</v>
          </cell>
          <cell r="AA275" t="b">
            <v>0</v>
          </cell>
        </row>
        <row r="276">
          <cell r="Z276" t="b">
            <v>0</v>
          </cell>
          <cell r="AA276" t="b">
            <v>0</v>
          </cell>
        </row>
        <row r="277">
          <cell r="Z277" t="b">
            <v>0</v>
          </cell>
          <cell r="AA277" t="b">
            <v>0</v>
          </cell>
        </row>
        <row r="278">
          <cell r="Z278" t="b">
            <v>0</v>
          </cell>
          <cell r="AA278" t="b">
            <v>0</v>
          </cell>
        </row>
        <row r="279">
          <cell r="Z279" t="b">
            <v>0</v>
          </cell>
          <cell r="AA279" t="b">
            <v>0</v>
          </cell>
        </row>
        <row r="280">
          <cell r="Z280" t="b">
            <v>0</v>
          </cell>
          <cell r="AA280" t="b">
            <v>0</v>
          </cell>
        </row>
        <row r="281">
          <cell r="Z281" t="b">
            <v>0</v>
          </cell>
          <cell r="AA281" t="b">
            <v>0</v>
          </cell>
        </row>
        <row r="282">
          <cell r="Z282" t="b">
            <v>0</v>
          </cell>
          <cell r="AA282" t="b">
            <v>0</v>
          </cell>
        </row>
        <row r="283">
          <cell r="Z283" t="b">
            <v>0</v>
          </cell>
          <cell r="AA283" t="b">
            <v>0</v>
          </cell>
        </row>
        <row r="284">
          <cell r="Z284" t="b">
            <v>0</v>
          </cell>
          <cell r="AA284" t="b">
            <v>0</v>
          </cell>
        </row>
        <row r="285">
          <cell r="Z285" t="b">
            <v>0</v>
          </cell>
          <cell r="AA285" t="b">
            <v>0</v>
          </cell>
        </row>
        <row r="286">
          <cell r="Z286" t="b">
            <v>0</v>
          </cell>
          <cell r="AA286" t="b">
            <v>0</v>
          </cell>
        </row>
        <row r="287">
          <cell r="Z287" t="b">
            <v>0</v>
          </cell>
          <cell r="AA287" t="b">
            <v>0</v>
          </cell>
        </row>
        <row r="288">
          <cell r="Z288" t="b">
            <v>0</v>
          </cell>
          <cell r="AA288" t="b">
            <v>0</v>
          </cell>
        </row>
        <row r="289">
          <cell r="Z289" t="b">
            <v>0</v>
          </cell>
          <cell r="AA289" t="b">
            <v>0</v>
          </cell>
        </row>
        <row r="290">
          <cell r="Z290" t="b">
            <v>0</v>
          </cell>
          <cell r="AA290" t="b">
            <v>0</v>
          </cell>
        </row>
        <row r="291">
          <cell r="Z291" t="b">
            <v>0</v>
          </cell>
          <cell r="AA291" t="b">
            <v>0</v>
          </cell>
        </row>
        <row r="292">
          <cell r="Z292" t="b">
            <v>0</v>
          </cell>
          <cell r="AA292" t="b">
            <v>0</v>
          </cell>
        </row>
        <row r="293">
          <cell r="Z293" t="b">
            <v>0</v>
          </cell>
          <cell r="AA293" t="b">
            <v>0</v>
          </cell>
        </row>
        <row r="294">
          <cell r="Z294" t="b">
            <v>0</v>
          </cell>
          <cell r="AA294" t="b">
            <v>0</v>
          </cell>
        </row>
        <row r="295">
          <cell r="Z295" t="b">
            <v>0</v>
          </cell>
          <cell r="AA295" t="b">
            <v>0</v>
          </cell>
        </row>
        <row r="296">
          <cell r="Z296" t="b">
            <v>0</v>
          </cell>
          <cell r="AA296" t="b">
            <v>0</v>
          </cell>
        </row>
        <row r="297">
          <cell r="Z297" t="b">
            <v>0</v>
          </cell>
          <cell r="AA297" t="b">
            <v>0</v>
          </cell>
        </row>
        <row r="298">
          <cell r="Z298" t="b">
            <v>0</v>
          </cell>
          <cell r="AA298" t="b">
            <v>0</v>
          </cell>
        </row>
        <row r="299">
          <cell r="Z299" t="b">
            <v>0</v>
          </cell>
          <cell r="AA299" t="b">
            <v>0</v>
          </cell>
        </row>
        <row r="300">
          <cell r="Z300" t="b">
            <v>0</v>
          </cell>
          <cell r="AA300" t="b">
            <v>0</v>
          </cell>
        </row>
        <row r="301">
          <cell r="Z301" t="b">
            <v>0</v>
          </cell>
          <cell r="AA301" t="b">
            <v>0</v>
          </cell>
        </row>
        <row r="302">
          <cell r="Z302" t="b">
            <v>0</v>
          </cell>
          <cell r="AA302" t="b">
            <v>0</v>
          </cell>
        </row>
        <row r="303">
          <cell r="Z303" t="b">
            <v>0</v>
          </cell>
          <cell r="AA303" t="b">
            <v>0</v>
          </cell>
        </row>
        <row r="304">
          <cell r="Z304" t="b">
            <v>0</v>
          </cell>
          <cell r="AA304" t="b">
            <v>0</v>
          </cell>
        </row>
        <row r="305">
          <cell r="Z305" t="b">
            <v>0</v>
          </cell>
          <cell r="AA305" t="b">
            <v>0</v>
          </cell>
        </row>
        <row r="306">
          <cell r="Z306" t="b">
            <v>0</v>
          </cell>
          <cell r="AA306" t="b">
            <v>0</v>
          </cell>
        </row>
        <row r="307">
          <cell r="Z307" t="b">
            <v>0</v>
          </cell>
          <cell r="AA307" t="b">
            <v>0</v>
          </cell>
        </row>
        <row r="308">
          <cell r="Z308" t="b">
            <v>0</v>
          </cell>
          <cell r="AA308" t="b">
            <v>0</v>
          </cell>
        </row>
        <row r="309">
          <cell r="Z309" t="b">
            <v>0</v>
          </cell>
          <cell r="AA309" t="b">
            <v>0</v>
          </cell>
        </row>
        <row r="310">
          <cell r="Z310" t="b">
            <v>0</v>
          </cell>
          <cell r="AA310" t="b">
            <v>0</v>
          </cell>
        </row>
        <row r="311">
          <cell r="Z311" t="b">
            <v>0</v>
          </cell>
          <cell r="AA311" t="b">
            <v>0</v>
          </cell>
        </row>
        <row r="312">
          <cell r="Z312" t="b">
            <v>0</v>
          </cell>
          <cell r="AA312" t="b">
            <v>0</v>
          </cell>
        </row>
        <row r="313">
          <cell r="Z313" t="b">
            <v>0</v>
          </cell>
          <cell r="AA313" t="b">
            <v>0</v>
          </cell>
        </row>
        <row r="314">
          <cell r="Z314" t="b">
            <v>0</v>
          </cell>
          <cell r="AA314" t="b">
            <v>0</v>
          </cell>
        </row>
        <row r="315">
          <cell r="Z315" t="b">
            <v>0</v>
          </cell>
          <cell r="AA315" t="b">
            <v>0</v>
          </cell>
        </row>
        <row r="316">
          <cell r="Z316" t="b">
            <v>0</v>
          </cell>
          <cell r="AA316" t="b">
            <v>0</v>
          </cell>
        </row>
        <row r="317">
          <cell r="Z317" t="b">
            <v>0</v>
          </cell>
          <cell r="AA317" t="b">
            <v>0</v>
          </cell>
        </row>
        <row r="318">
          <cell r="Z318" t="b">
            <v>0</v>
          </cell>
          <cell r="AA318" t="b">
            <v>0</v>
          </cell>
        </row>
        <row r="319">
          <cell r="Z319" t="b">
            <v>0</v>
          </cell>
          <cell r="AA319" t="b">
            <v>0</v>
          </cell>
        </row>
        <row r="320">
          <cell r="Z320" t="b">
            <v>0</v>
          </cell>
          <cell r="AA320" t="b">
            <v>0</v>
          </cell>
        </row>
        <row r="321">
          <cell r="Z321" t="b">
            <v>0</v>
          </cell>
          <cell r="AA321" t="b">
            <v>0</v>
          </cell>
        </row>
        <row r="322">
          <cell r="Z322" t="b">
            <v>0</v>
          </cell>
          <cell r="AA322" t="b">
            <v>0</v>
          </cell>
        </row>
        <row r="323">
          <cell r="Z323" t="b">
            <v>0</v>
          </cell>
          <cell r="AA323" t="b">
            <v>0</v>
          </cell>
        </row>
        <row r="324">
          <cell r="Z324" t="b">
            <v>0</v>
          </cell>
          <cell r="AA324" t="b">
            <v>0</v>
          </cell>
        </row>
        <row r="325">
          <cell r="Z325" t="b">
            <v>0</v>
          </cell>
          <cell r="AA325" t="b">
            <v>0</v>
          </cell>
        </row>
        <row r="326">
          <cell r="Z326" t="b">
            <v>0</v>
          </cell>
          <cell r="AA326" t="b">
            <v>0</v>
          </cell>
        </row>
        <row r="327">
          <cell r="Z327" t="b">
            <v>0</v>
          </cell>
          <cell r="AA327" t="b">
            <v>0</v>
          </cell>
        </row>
        <row r="328">
          <cell r="Z328" t="b">
            <v>0</v>
          </cell>
          <cell r="AA328" t="b">
            <v>0</v>
          </cell>
        </row>
        <row r="329">
          <cell r="Z329" t="b">
            <v>0</v>
          </cell>
          <cell r="AA329" t="b">
            <v>0</v>
          </cell>
        </row>
        <row r="330">
          <cell r="Z330" t="b">
            <v>0</v>
          </cell>
          <cell r="AA330" t="b">
            <v>0</v>
          </cell>
        </row>
        <row r="331">
          <cell r="Z331" t="b">
            <v>0</v>
          </cell>
          <cell r="AA331" t="b">
            <v>0</v>
          </cell>
        </row>
        <row r="332">
          <cell r="Z332" t="b">
            <v>0</v>
          </cell>
          <cell r="AA332" t="b">
            <v>0</v>
          </cell>
        </row>
        <row r="333">
          <cell r="Z333" t="b">
            <v>0</v>
          </cell>
          <cell r="AA333" t="b">
            <v>0</v>
          </cell>
        </row>
        <row r="334">
          <cell r="Z334" t="b">
            <v>0</v>
          </cell>
          <cell r="AA334" t="b">
            <v>0</v>
          </cell>
        </row>
        <row r="335">
          <cell r="Z335" t="b">
            <v>0</v>
          </cell>
          <cell r="AA335" t="b">
            <v>0</v>
          </cell>
        </row>
        <row r="336">
          <cell r="Z336" t="b">
            <v>0</v>
          </cell>
          <cell r="AA336" t="b">
            <v>0</v>
          </cell>
        </row>
        <row r="337">
          <cell r="Z337" t="b">
            <v>0</v>
          </cell>
          <cell r="AA337" t="b">
            <v>0</v>
          </cell>
        </row>
        <row r="338">
          <cell r="Z338" t="b">
            <v>0</v>
          </cell>
          <cell r="AA338" t="b">
            <v>0</v>
          </cell>
        </row>
        <row r="339">
          <cell r="Z339" t="b">
            <v>0</v>
          </cell>
          <cell r="AA339" t="b">
            <v>0</v>
          </cell>
        </row>
        <row r="340">
          <cell r="Z340" t="b">
            <v>0</v>
          </cell>
          <cell r="AA340" t="b">
            <v>0</v>
          </cell>
        </row>
        <row r="341">
          <cell r="Z341" t="b">
            <v>0</v>
          </cell>
          <cell r="AA341" t="b">
            <v>0</v>
          </cell>
        </row>
        <row r="342">
          <cell r="Z342" t="b">
            <v>0</v>
          </cell>
          <cell r="AA342" t="b">
            <v>0</v>
          </cell>
        </row>
        <row r="343">
          <cell r="Z343" t="b">
            <v>0</v>
          </cell>
          <cell r="AA343" t="b">
            <v>0</v>
          </cell>
        </row>
        <row r="344">
          <cell r="Z344" t="b">
            <v>0</v>
          </cell>
          <cell r="AA344" t="b">
            <v>0</v>
          </cell>
        </row>
        <row r="345">
          <cell r="Z345" t="b">
            <v>0</v>
          </cell>
          <cell r="AA345" t="b">
            <v>0</v>
          </cell>
        </row>
        <row r="346">
          <cell r="Z346" t="b">
            <v>0</v>
          </cell>
          <cell r="AA346" t="b">
            <v>0</v>
          </cell>
        </row>
        <row r="347">
          <cell r="Z347" t="b">
            <v>0</v>
          </cell>
          <cell r="AA347" t="b">
            <v>0</v>
          </cell>
        </row>
        <row r="348">
          <cell r="Z348" t="b">
            <v>0</v>
          </cell>
          <cell r="AA348" t="b">
            <v>0</v>
          </cell>
        </row>
        <row r="349">
          <cell r="Z349" t="b">
            <v>0</v>
          </cell>
          <cell r="AA349" t="b">
            <v>0</v>
          </cell>
        </row>
        <row r="350">
          <cell r="Z350" t="b">
            <v>0</v>
          </cell>
          <cell r="AA350" t="b">
            <v>0</v>
          </cell>
        </row>
        <row r="351">
          <cell r="Z351" t="b">
            <v>0</v>
          </cell>
          <cell r="AA351" t="b">
            <v>0</v>
          </cell>
        </row>
        <row r="352">
          <cell r="Z352" t="b">
            <v>0</v>
          </cell>
          <cell r="AA352" t="b">
            <v>0</v>
          </cell>
        </row>
        <row r="353">
          <cell r="Z353" t="b">
            <v>0</v>
          </cell>
          <cell r="AA353" t="b">
            <v>0</v>
          </cell>
        </row>
        <row r="354">
          <cell r="Z354" t="b">
            <v>0</v>
          </cell>
          <cell r="AA354" t="b">
            <v>0</v>
          </cell>
        </row>
        <row r="355">
          <cell r="Z355" t="b">
            <v>0</v>
          </cell>
          <cell r="AA355" t="b">
            <v>0</v>
          </cell>
        </row>
        <row r="356">
          <cell r="Z356" t="b">
            <v>0</v>
          </cell>
          <cell r="AA356" t="b">
            <v>0</v>
          </cell>
        </row>
        <row r="357">
          <cell r="Z357" t="b">
            <v>0</v>
          </cell>
          <cell r="AA357" t="b">
            <v>0</v>
          </cell>
        </row>
        <row r="358">
          <cell r="Z358" t="b">
            <v>0</v>
          </cell>
          <cell r="AA358" t="b">
            <v>0</v>
          </cell>
        </row>
        <row r="359">
          <cell r="Z359" t="b">
            <v>0</v>
          </cell>
          <cell r="AA359" t="b">
            <v>0</v>
          </cell>
        </row>
        <row r="360">
          <cell r="Z360" t="b">
            <v>0</v>
          </cell>
          <cell r="AA360" t="b">
            <v>0</v>
          </cell>
        </row>
        <row r="361">
          <cell r="Z361" t="b">
            <v>0</v>
          </cell>
          <cell r="AA361" t="b">
            <v>0</v>
          </cell>
        </row>
        <row r="362">
          <cell r="Z362" t="b">
            <v>0</v>
          </cell>
          <cell r="AA362" t="b">
            <v>0</v>
          </cell>
        </row>
        <row r="363">
          <cell r="Z363" t="b">
            <v>0</v>
          </cell>
          <cell r="AA363" t="b">
            <v>0</v>
          </cell>
        </row>
        <row r="364">
          <cell r="Z364" t="b">
            <v>0</v>
          </cell>
          <cell r="AA364" t="b">
            <v>0</v>
          </cell>
        </row>
        <row r="365">
          <cell r="Z365" t="b">
            <v>0</v>
          </cell>
          <cell r="AA365" t="b">
            <v>0</v>
          </cell>
        </row>
        <row r="366">
          <cell r="Z366" t="b">
            <v>0</v>
          </cell>
          <cell r="AA366" t="b">
            <v>0</v>
          </cell>
        </row>
        <row r="367">
          <cell r="Z367" t="b">
            <v>0</v>
          </cell>
          <cell r="AA367" t="b">
            <v>0</v>
          </cell>
        </row>
        <row r="368">
          <cell r="Z368" t="b">
            <v>0</v>
          </cell>
          <cell r="AA368" t="b">
            <v>0</v>
          </cell>
        </row>
        <row r="369">
          <cell r="Z369" t="b">
            <v>0</v>
          </cell>
          <cell r="AA369" t="b">
            <v>0</v>
          </cell>
        </row>
        <row r="370">
          <cell r="Z370" t="b">
            <v>0</v>
          </cell>
          <cell r="AA370" t="b">
            <v>0</v>
          </cell>
        </row>
        <row r="371">
          <cell r="Z371" t="b">
            <v>0</v>
          </cell>
          <cell r="AA371" t="b">
            <v>0</v>
          </cell>
        </row>
        <row r="372">
          <cell r="Z372" t="b">
            <v>0</v>
          </cell>
          <cell r="AA372" t="b">
            <v>0</v>
          </cell>
        </row>
        <row r="373">
          <cell r="Z373" t="b">
            <v>0</v>
          </cell>
          <cell r="AA373" t="b">
            <v>0</v>
          </cell>
        </row>
        <row r="374">
          <cell r="Z374" t="b">
            <v>0</v>
          </cell>
          <cell r="AA374" t="b">
            <v>0</v>
          </cell>
        </row>
        <row r="375">
          <cell r="Z375" t="b">
            <v>0</v>
          </cell>
          <cell r="AA375" t="b">
            <v>0</v>
          </cell>
        </row>
        <row r="376">
          <cell r="Z376" t="b">
            <v>0</v>
          </cell>
          <cell r="AA376" t="b">
            <v>0</v>
          </cell>
        </row>
        <row r="377">
          <cell r="Z377" t="b">
            <v>0</v>
          </cell>
          <cell r="AA377" t="b">
            <v>0</v>
          </cell>
        </row>
        <row r="378">
          <cell r="Z378" t="b">
            <v>0</v>
          </cell>
          <cell r="AA378" t="b">
            <v>0</v>
          </cell>
        </row>
        <row r="379">
          <cell r="Z379" t="b">
            <v>0</v>
          </cell>
          <cell r="AA379" t="b">
            <v>0</v>
          </cell>
        </row>
        <row r="380">
          <cell r="Z380" t="b">
            <v>0</v>
          </cell>
          <cell r="AA380" t="b">
            <v>0</v>
          </cell>
        </row>
        <row r="381">
          <cell r="Z381" t="b">
            <v>0</v>
          </cell>
          <cell r="AA381" t="b">
            <v>0</v>
          </cell>
        </row>
        <row r="382">
          <cell r="Z382" t="b">
            <v>0</v>
          </cell>
          <cell r="AA382" t="b">
            <v>0</v>
          </cell>
        </row>
        <row r="383">
          <cell r="Z383" t="b">
            <v>0</v>
          </cell>
          <cell r="AA383" t="b">
            <v>0</v>
          </cell>
        </row>
        <row r="384">
          <cell r="Z384" t="b">
            <v>0</v>
          </cell>
          <cell r="AA384" t="b">
            <v>0</v>
          </cell>
        </row>
        <row r="385">
          <cell r="Z385" t="b">
            <v>0</v>
          </cell>
          <cell r="AA385" t="b">
            <v>0</v>
          </cell>
        </row>
        <row r="386">
          <cell r="Z386" t="b">
            <v>0</v>
          </cell>
          <cell r="AA386" t="b">
            <v>0</v>
          </cell>
        </row>
        <row r="387">
          <cell r="Z387" t="b">
            <v>0</v>
          </cell>
          <cell r="AA387" t="b">
            <v>0</v>
          </cell>
        </row>
        <row r="388">
          <cell r="Z388" t="b">
            <v>0</v>
          </cell>
          <cell r="AA388" t="b">
            <v>0</v>
          </cell>
        </row>
        <row r="389">
          <cell r="Z389" t="b">
            <v>0</v>
          </cell>
          <cell r="AA389" t="b">
            <v>0</v>
          </cell>
        </row>
        <row r="390">
          <cell r="Z390" t="b">
            <v>0</v>
          </cell>
          <cell r="AA390" t="b">
            <v>0</v>
          </cell>
        </row>
        <row r="391">
          <cell r="Z391" t="b">
            <v>0</v>
          </cell>
          <cell r="AA391" t="b">
            <v>0</v>
          </cell>
        </row>
        <row r="392">
          <cell r="Z392" t="b">
            <v>0</v>
          </cell>
          <cell r="AA392" t="b">
            <v>0</v>
          </cell>
        </row>
        <row r="393">
          <cell r="Z393" t="b">
            <v>0</v>
          </cell>
          <cell r="AA393" t="b">
            <v>0</v>
          </cell>
        </row>
        <row r="394">
          <cell r="Z394" t="b">
            <v>0</v>
          </cell>
          <cell r="AA394" t="b">
            <v>0</v>
          </cell>
        </row>
        <row r="395">
          <cell r="Z395" t="b">
            <v>0</v>
          </cell>
          <cell r="AA395" t="b">
            <v>0</v>
          </cell>
        </row>
        <row r="396">
          <cell r="Z396" t="b">
            <v>0</v>
          </cell>
          <cell r="AA396" t="b">
            <v>0</v>
          </cell>
        </row>
        <row r="397">
          <cell r="Z397" t="b">
            <v>0</v>
          </cell>
          <cell r="AA397" t="b">
            <v>0</v>
          </cell>
        </row>
        <row r="398">
          <cell r="Z398" t="b">
            <v>0</v>
          </cell>
          <cell r="AA398" t="b">
            <v>0</v>
          </cell>
        </row>
        <row r="399">
          <cell r="Z399" t="b">
            <v>0</v>
          </cell>
          <cell r="AA399" t="b">
            <v>0</v>
          </cell>
        </row>
        <row r="400">
          <cell r="Z400" t="b">
            <v>0</v>
          </cell>
          <cell r="AA400" t="b">
            <v>0</v>
          </cell>
        </row>
        <row r="401">
          <cell r="Z401" t="b">
            <v>0</v>
          </cell>
          <cell r="AA401" t="b">
            <v>0</v>
          </cell>
        </row>
        <row r="402">
          <cell r="Z402" t="b">
            <v>0</v>
          </cell>
          <cell r="AA402" t="b">
            <v>0</v>
          </cell>
        </row>
        <row r="403">
          <cell r="Z403" t="b">
            <v>0</v>
          </cell>
          <cell r="AA403" t="b">
            <v>0</v>
          </cell>
        </row>
        <row r="404">
          <cell r="Z404" t="b">
            <v>0</v>
          </cell>
          <cell r="AA404" t="b">
            <v>0</v>
          </cell>
        </row>
        <row r="405">
          <cell r="Z405" t="b">
            <v>0</v>
          </cell>
          <cell r="AA405" t="b">
            <v>0</v>
          </cell>
        </row>
        <row r="406">
          <cell r="Z406" t="b">
            <v>0</v>
          </cell>
          <cell r="AA406" t="b">
            <v>0</v>
          </cell>
        </row>
        <row r="407">
          <cell r="Z407" t="b">
            <v>0</v>
          </cell>
          <cell r="AA407" t="b">
            <v>0</v>
          </cell>
        </row>
        <row r="408">
          <cell r="Z408" t="b">
            <v>0</v>
          </cell>
          <cell r="AA408" t="b">
            <v>0</v>
          </cell>
        </row>
        <row r="409">
          <cell r="Z409" t="b">
            <v>0</v>
          </cell>
          <cell r="AA409" t="b">
            <v>0</v>
          </cell>
        </row>
        <row r="410">
          <cell r="Z410" t="b">
            <v>0</v>
          </cell>
          <cell r="AA410" t="b">
            <v>0</v>
          </cell>
        </row>
        <row r="411">
          <cell r="Z411" t="b">
            <v>0</v>
          </cell>
          <cell r="AA411" t="b">
            <v>0</v>
          </cell>
        </row>
        <row r="412">
          <cell r="Z412" t="b">
            <v>0</v>
          </cell>
          <cell r="AA412" t="b">
            <v>0</v>
          </cell>
        </row>
        <row r="413">
          <cell r="Z413" t="b">
            <v>0</v>
          </cell>
          <cell r="AA413" t="b">
            <v>0</v>
          </cell>
        </row>
        <row r="414">
          <cell r="Z414" t="b">
            <v>0</v>
          </cell>
          <cell r="AA414" t="b">
            <v>0</v>
          </cell>
        </row>
        <row r="415">
          <cell r="Z415" t="b">
            <v>0</v>
          </cell>
          <cell r="AA415" t="b">
            <v>0</v>
          </cell>
        </row>
        <row r="416">
          <cell r="Z416" t="b">
            <v>0</v>
          </cell>
          <cell r="AA416" t="b">
            <v>0</v>
          </cell>
        </row>
        <row r="417">
          <cell r="Z417" t="b">
            <v>0</v>
          </cell>
          <cell r="AA417" t="b">
            <v>0</v>
          </cell>
        </row>
        <row r="418">
          <cell r="Z418" t="b">
            <v>0</v>
          </cell>
          <cell r="AA418" t="b">
            <v>0</v>
          </cell>
        </row>
        <row r="419">
          <cell r="Z419" t="b">
            <v>0</v>
          </cell>
          <cell r="AA419" t="b">
            <v>0</v>
          </cell>
        </row>
        <row r="420">
          <cell r="Z420" t="b">
            <v>0</v>
          </cell>
          <cell r="AA420" t="b">
            <v>0</v>
          </cell>
        </row>
        <row r="421">
          <cell r="Z421" t="b">
            <v>0</v>
          </cell>
          <cell r="AA421" t="b">
            <v>0</v>
          </cell>
        </row>
        <row r="422">
          <cell r="Z422" t="b">
            <v>0</v>
          </cell>
          <cell r="AA422" t="b">
            <v>0</v>
          </cell>
        </row>
        <row r="423">
          <cell r="Z423" t="b">
            <v>0</v>
          </cell>
          <cell r="AA423" t="b">
            <v>0</v>
          </cell>
        </row>
        <row r="424">
          <cell r="Z424" t="b">
            <v>0</v>
          </cell>
          <cell r="AA424" t="b">
            <v>0</v>
          </cell>
        </row>
        <row r="425">
          <cell r="Z425" t="b">
            <v>0</v>
          </cell>
          <cell r="AA425" t="b">
            <v>0</v>
          </cell>
        </row>
        <row r="426">
          <cell r="Z426" t="b">
            <v>0</v>
          </cell>
          <cell r="AA426" t="b">
            <v>0</v>
          </cell>
        </row>
        <row r="427">
          <cell r="Z427" t="b">
            <v>0</v>
          </cell>
          <cell r="AA427" t="b">
            <v>0</v>
          </cell>
        </row>
        <row r="428">
          <cell r="Z428" t="b">
            <v>0</v>
          </cell>
          <cell r="AA428" t="b">
            <v>0</v>
          </cell>
        </row>
        <row r="429">
          <cell r="Z429" t="b">
            <v>0</v>
          </cell>
          <cell r="AA429" t="b">
            <v>0</v>
          </cell>
        </row>
        <row r="430">
          <cell r="Z430" t="b">
            <v>0</v>
          </cell>
          <cell r="AA430" t="b">
            <v>0</v>
          </cell>
        </row>
        <row r="431">
          <cell r="Z431" t="b">
            <v>0</v>
          </cell>
          <cell r="AA431" t="b">
            <v>0</v>
          </cell>
        </row>
        <row r="432">
          <cell r="Z432" t="b">
            <v>0</v>
          </cell>
          <cell r="AA432" t="b">
            <v>0</v>
          </cell>
        </row>
        <row r="433">
          <cell r="Z433" t="b">
            <v>0</v>
          </cell>
          <cell r="AA433" t="b">
            <v>0</v>
          </cell>
        </row>
        <row r="434">
          <cell r="Z434" t="b">
            <v>0</v>
          </cell>
          <cell r="AA434" t="b">
            <v>0</v>
          </cell>
        </row>
        <row r="435">
          <cell r="Z435" t="b">
            <v>0</v>
          </cell>
          <cell r="AA435" t="b">
            <v>0</v>
          </cell>
        </row>
        <row r="436">
          <cell r="Z436" t="b">
            <v>0</v>
          </cell>
          <cell r="AA436" t="b">
            <v>0</v>
          </cell>
        </row>
        <row r="437">
          <cell r="Z437" t="b">
            <v>0</v>
          </cell>
          <cell r="AA437" t="b">
            <v>0</v>
          </cell>
        </row>
        <row r="438">
          <cell r="Z438" t="b">
            <v>0</v>
          </cell>
          <cell r="AA438" t="b">
            <v>0</v>
          </cell>
        </row>
        <row r="439">
          <cell r="Z439" t="b">
            <v>0</v>
          </cell>
          <cell r="AA439" t="b">
            <v>0</v>
          </cell>
        </row>
        <row r="440">
          <cell r="Z440" t="b">
            <v>0</v>
          </cell>
          <cell r="AA440" t="b">
            <v>0</v>
          </cell>
        </row>
        <row r="441">
          <cell r="Z441" t="b">
            <v>0</v>
          </cell>
          <cell r="AA441" t="b">
            <v>0</v>
          </cell>
        </row>
        <row r="442">
          <cell r="Z442" t="b">
            <v>0</v>
          </cell>
          <cell r="AA442" t="b">
            <v>0</v>
          </cell>
        </row>
        <row r="443">
          <cell r="Z443" t="b">
            <v>0</v>
          </cell>
          <cell r="AA443" t="b">
            <v>0</v>
          </cell>
        </row>
        <row r="444">
          <cell r="Z444" t="b">
            <v>0</v>
          </cell>
          <cell r="AA444" t="b">
            <v>0</v>
          </cell>
        </row>
        <row r="445">
          <cell r="Z445" t="b">
            <v>0</v>
          </cell>
          <cell r="AA445" t="b">
            <v>0</v>
          </cell>
        </row>
        <row r="446">
          <cell r="Z446" t="b">
            <v>0</v>
          </cell>
          <cell r="AA446" t="b">
            <v>0</v>
          </cell>
        </row>
        <row r="447">
          <cell r="Z447" t="b">
            <v>0</v>
          </cell>
          <cell r="AA447" t="b">
            <v>0</v>
          </cell>
        </row>
        <row r="448">
          <cell r="Z448" t="b">
            <v>0</v>
          </cell>
          <cell r="AA448" t="b">
            <v>0</v>
          </cell>
        </row>
        <row r="449">
          <cell r="Z449" t="b">
            <v>0</v>
          </cell>
          <cell r="AA449" t="b">
            <v>0</v>
          </cell>
        </row>
        <row r="450">
          <cell r="Z450" t="b">
            <v>0</v>
          </cell>
          <cell r="AA450" t="b">
            <v>0</v>
          </cell>
        </row>
        <row r="451">
          <cell r="Z451" t="b">
            <v>0</v>
          </cell>
          <cell r="AA451" t="b">
            <v>0</v>
          </cell>
        </row>
        <row r="452">
          <cell r="Z452" t="b">
            <v>0</v>
          </cell>
          <cell r="AA452" t="b">
            <v>0</v>
          </cell>
        </row>
        <row r="453">
          <cell r="Z453" t="b">
            <v>0</v>
          </cell>
          <cell r="AA453" t="b">
            <v>0</v>
          </cell>
        </row>
        <row r="454">
          <cell r="Z454" t="b">
            <v>0</v>
          </cell>
          <cell r="AA454" t="b">
            <v>0</v>
          </cell>
        </row>
        <row r="455">
          <cell r="Z455" t="b">
            <v>0</v>
          </cell>
          <cell r="AA455" t="b">
            <v>0</v>
          </cell>
        </row>
        <row r="456">
          <cell r="Z456" t="b">
            <v>0</v>
          </cell>
          <cell r="AA456" t="b">
            <v>0</v>
          </cell>
        </row>
        <row r="457">
          <cell r="Z457" t="b">
            <v>0</v>
          </cell>
          <cell r="AA457" t="b">
            <v>0</v>
          </cell>
        </row>
        <row r="458">
          <cell r="Z458" t="b">
            <v>0</v>
          </cell>
          <cell r="AA458" t="b">
            <v>0</v>
          </cell>
        </row>
        <row r="459">
          <cell r="Z459" t="b">
            <v>0</v>
          </cell>
          <cell r="AA459" t="b">
            <v>0</v>
          </cell>
        </row>
        <row r="460">
          <cell r="Z460" t="b">
            <v>0</v>
          </cell>
          <cell r="AA460" t="b">
            <v>0</v>
          </cell>
        </row>
        <row r="461">
          <cell r="Z461" t="b">
            <v>0</v>
          </cell>
          <cell r="AA461" t="b">
            <v>0</v>
          </cell>
        </row>
        <row r="462">
          <cell r="Z462" t="b">
            <v>0</v>
          </cell>
          <cell r="AA462" t="b">
            <v>0</v>
          </cell>
        </row>
        <row r="463">
          <cell r="Z463" t="b">
            <v>0</v>
          </cell>
          <cell r="AA463" t="b">
            <v>0</v>
          </cell>
        </row>
        <row r="464">
          <cell r="Z464" t="b">
            <v>0</v>
          </cell>
          <cell r="AA464" t="b">
            <v>0</v>
          </cell>
        </row>
        <row r="465">
          <cell r="Z465" t="b">
            <v>0</v>
          </cell>
          <cell r="AA465" t="b">
            <v>0</v>
          </cell>
        </row>
        <row r="466">
          <cell r="Z466" t="b">
            <v>0</v>
          </cell>
          <cell r="AA466" t="b">
            <v>0</v>
          </cell>
        </row>
        <row r="467">
          <cell r="Z467" t="b">
            <v>0</v>
          </cell>
          <cell r="AA467" t="b">
            <v>0</v>
          </cell>
        </row>
        <row r="468">
          <cell r="Z468" t="b">
            <v>0</v>
          </cell>
          <cell r="AA468" t="b">
            <v>0</v>
          </cell>
        </row>
        <row r="469">
          <cell r="Z469" t="b">
            <v>0</v>
          </cell>
          <cell r="AA469" t="b">
            <v>0</v>
          </cell>
        </row>
        <row r="470">
          <cell r="Z470" t="b">
            <v>0</v>
          </cell>
          <cell r="AA470" t="b">
            <v>0</v>
          </cell>
        </row>
        <row r="471">
          <cell r="Z471" t="b">
            <v>0</v>
          </cell>
          <cell r="AA471" t="b">
            <v>0</v>
          </cell>
        </row>
        <row r="472">
          <cell r="Z472" t="b">
            <v>0</v>
          </cell>
          <cell r="AA472" t="b">
            <v>0</v>
          </cell>
        </row>
        <row r="473">
          <cell r="Z473" t="b">
            <v>0</v>
          </cell>
          <cell r="AA473" t="b">
            <v>0</v>
          </cell>
        </row>
        <row r="474">
          <cell r="Z474" t="b">
            <v>0</v>
          </cell>
          <cell r="AA474" t="b">
            <v>0</v>
          </cell>
        </row>
        <row r="475">
          <cell r="Z475" t="b">
            <v>0</v>
          </cell>
          <cell r="AA475" t="b">
            <v>0</v>
          </cell>
        </row>
        <row r="476">
          <cell r="Z476" t="b">
            <v>0</v>
          </cell>
          <cell r="AA476" t="b">
            <v>0</v>
          </cell>
        </row>
        <row r="477">
          <cell r="Z477" t="b">
            <v>0</v>
          </cell>
          <cell r="AA477" t="b">
            <v>0</v>
          </cell>
        </row>
        <row r="478">
          <cell r="Z478" t="b">
            <v>0</v>
          </cell>
          <cell r="AA478" t="b">
            <v>0</v>
          </cell>
        </row>
        <row r="479">
          <cell r="Z479" t="b">
            <v>0</v>
          </cell>
          <cell r="AA479" t="b">
            <v>0</v>
          </cell>
        </row>
        <row r="480">
          <cell r="Z480" t="b">
            <v>0</v>
          </cell>
          <cell r="AA480" t="b">
            <v>0</v>
          </cell>
        </row>
        <row r="481">
          <cell r="Z481" t="b">
            <v>0</v>
          </cell>
          <cell r="AA481" t="b">
            <v>0</v>
          </cell>
        </row>
        <row r="482">
          <cell r="Z482" t="b">
            <v>0</v>
          </cell>
          <cell r="AA482" t="b">
            <v>0</v>
          </cell>
        </row>
        <row r="483">
          <cell r="Z483" t="b">
            <v>0</v>
          </cell>
          <cell r="AA483" t="b">
            <v>0</v>
          </cell>
        </row>
        <row r="484">
          <cell r="Z484" t="b">
            <v>0</v>
          </cell>
          <cell r="AA484" t="b">
            <v>0</v>
          </cell>
        </row>
        <row r="485">
          <cell r="Z485" t="b">
            <v>0</v>
          </cell>
          <cell r="AA485" t="b">
            <v>0</v>
          </cell>
        </row>
        <row r="486">
          <cell r="Z486" t="b">
            <v>0</v>
          </cell>
          <cell r="AA486" t="b">
            <v>0</v>
          </cell>
        </row>
        <row r="487">
          <cell r="Z487" t="b">
            <v>0</v>
          </cell>
          <cell r="AA487" t="b">
            <v>0</v>
          </cell>
        </row>
        <row r="488">
          <cell r="Z488" t="b">
            <v>0</v>
          </cell>
          <cell r="AA488" t="b">
            <v>0</v>
          </cell>
        </row>
        <row r="489">
          <cell r="Z489" t="b">
            <v>0</v>
          </cell>
          <cell r="AA489" t="b">
            <v>0</v>
          </cell>
        </row>
        <row r="490">
          <cell r="Z490" t="b">
            <v>0</v>
          </cell>
          <cell r="AA490" t="b">
            <v>0</v>
          </cell>
        </row>
        <row r="491">
          <cell r="Z491" t="b">
            <v>0</v>
          </cell>
          <cell r="AA491" t="b">
            <v>0</v>
          </cell>
        </row>
        <row r="492">
          <cell r="Z492" t="b">
            <v>0</v>
          </cell>
          <cell r="AA492" t="b">
            <v>0</v>
          </cell>
        </row>
        <row r="493">
          <cell r="Z493" t="b">
            <v>0</v>
          </cell>
          <cell r="AA493" t="b">
            <v>0</v>
          </cell>
        </row>
        <row r="494">
          <cell r="Z494" t="b">
            <v>0</v>
          </cell>
          <cell r="AA494" t="b">
            <v>0</v>
          </cell>
        </row>
        <row r="495">
          <cell r="Z495" t="b">
            <v>0</v>
          </cell>
          <cell r="AA495" t="b">
            <v>0</v>
          </cell>
        </row>
        <row r="496">
          <cell r="Z496" t="b">
            <v>0</v>
          </cell>
          <cell r="AA496" t="b">
            <v>0</v>
          </cell>
        </row>
        <row r="497">
          <cell r="Z497" t="b">
            <v>0</v>
          </cell>
          <cell r="AA497" t="b">
            <v>0</v>
          </cell>
        </row>
        <row r="498">
          <cell r="Z498" t="b">
            <v>0</v>
          </cell>
          <cell r="AA498" t="b">
            <v>0</v>
          </cell>
        </row>
        <row r="499">
          <cell r="Z499" t="b">
            <v>0</v>
          </cell>
          <cell r="AA499" t="b">
            <v>0</v>
          </cell>
        </row>
        <row r="500">
          <cell r="Z500" t="b">
            <v>0</v>
          </cell>
          <cell r="AA500" t="b">
            <v>0</v>
          </cell>
        </row>
        <row r="501">
          <cell r="Z501" t="b">
            <v>0</v>
          </cell>
          <cell r="AA501" t="b">
            <v>0</v>
          </cell>
        </row>
        <row r="502">
          <cell r="Z502" t="b">
            <v>0</v>
          </cell>
          <cell r="AA502" t="b">
            <v>0</v>
          </cell>
        </row>
        <row r="503">
          <cell r="Z503" t="b">
            <v>0</v>
          </cell>
          <cell r="AA503" t="b">
            <v>0</v>
          </cell>
        </row>
        <row r="504">
          <cell r="Z504" t="b">
            <v>0</v>
          </cell>
          <cell r="AA504" t="b">
            <v>0</v>
          </cell>
        </row>
        <row r="505">
          <cell r="Z505" t="b">
            <v>0</v>
          </cell>
          <cell r="AA505" t="b">
            <v>0</v>
          </cell>
        </row>
        <row r="506">
          <cell r="Z506" t="b">
            <v>0</v>
          </cell>
          <cell r="AA506" t="b">
            <v>0</v>
          </cell>
        </row>
        <row r="507">
          <cell r="Z507" t="b">
            <v>0</v>
          </cell>
          <cell r="AA507" t="b">
            <v>0</v>
          </cell>
        </row>
        <row r="508">
          <cell r="Z508" t="b">
            <v>0</v>
          </cell>
          <cell r="AA508" t="b">
            <v>0</v>
          </cell>
        </row>
        <row r="509">
          <cell r="Z509" t="b">
            <v>0</v>
          </cell>
          <cell r="AA509" t="b">
            <v>0</v>
          </cell>
        </row>
        <row r="510">
          <cell r="Z510" t="b">
            <v>0</v>
          </cell>
          <cell r="AA510" t="b">
            <v>0</v>
          </cell>
        </row>
        <row r="511">
          <cell r="Z511" t="b">
            <v>0</v>
          </cell>
          <cell r="AA511" t="b">
            <v>0</v>
          </cell>
        </row>
        <row r="512">
          <cell r="Z512" t="b">
            <v>0</v>
          </cell>
          <cell r="AA512" t="b">
            <v>0</v>
          </cell>
        </row>
        <row r="513">
          <cell r="Z513" t="b">
            <v>0</v>
          </cell>
          <cell r="AA513" t="b">
            <v>0</v>
          </cell>
        </row>
        <row r="514">
          <cell r="Z514" t="b">
            <v>0</v>
          </cell>
          <cell r="AA514" t="b">
            <v>0</v>
          </cell>
        </row>
        <row r="515">
          <cell r="Z515" t="b">
            <v>0</v>
          </cell>
          <cell r="AA515" t="b">
            <v>0</v>
          </cell>
        </row>
        <row r="516">
          <cell r="Z516" t="b">
            <v>0</v>
          </cell>
          <cell r="AA516" t="b">
            <v>0</v>
          </cell>
        </row>
        <row r="517">
          <cell r="Z517" t="b">
            <v>0</v>
          </cell>
          <cell r="AA517" t="b">
            <v>0</v>
          </cell>
        </row>
        <row r="518">
          <cell r="Z518" t="b">
            <v>0</v>
          </cell>
          <cell r="AA518" t="b">
            <v>0</v>
          </cell>
        </row>
        <row r="519">
          <cell r="Z519" t="b">
            <v>0</v>
          </cell>
          <cell r="AA519" t="b">
            <v>0</v>
          </cell>
        </row>
        <row r="520">
          <cell r="Z520" t="b">
            <v>0</v>
          </cell>
          <cell r="AA520" t="b">
            <v>0</v>
          </cell>
        </row>
        <row r="521">
          <cell r="Z521" t="b">
            <v>0</v>
          </cell>
          <cell r="AA521" t="b">
            <v>0</v>
          </cell>
        </row>
        <row r="522">
          <cell r="Z522" t="b">
            <v>0</v>
          </cell>
          <cell r="AA522" t="b">
            <v>0</v>
          </cell>
        </row>
        <row r="523">
          <cell r="Z523" t="b">
            <v>0</v>
          </cell>
          <cell r="AA523" t="b">
            <v>0</v>
          </cell>
        </row>
        <row r="524">
          <cell r="Z524" t="b">
            <v>0</v>
          </cell>
          <cell r="AA524" t="b">
            <v>0</v>
          </cell>
        </row>
        <row r="525">
          <cell r="Z525" t="b">
            <v>0</v>
          </cell>
          <cell r="AA525" t="b">
            <v>0</v>
          </cell>
        </row>
        <row r="526">
          <cell r="Z526" t="b">
            <v>0</v>
          </cell>
          <cell r="AA526" t="b">
            <v>0</v>
          </cell>
        </row>
        <row r="527">
          <cell r="Z527" t="b">
            <v>0</v>
          </cell>
          <cell r="AA527" t="b">
            <v>0</v>
          </cell>
        </row>
        <row r="528">
          <cell r="Z528" t="b">
            <v>0</v>
          </cell>
          <cell r="AA528" t="b">
            <v>0</v>
          </cell>
        </row>
        <row r="529">
          <cell r="Z529" t="b">
            <v>0</v>
          </cell>
          <cell r="AA529" t="b">
            <v>0</v>
          </cell>
        </row>
        <row r="530">
          <cell r="Z530" t="b">
            <v>0</v>
          </cell>
          <cell r="AA530" t="b">
            <v>0</v>
          </cell>
        </row>
        <row r="531">
          <cell r="Z531" t="b">
            <v>0</v>
          </cell>
          <cell r="AA531" t="b">
            <v>0</v>
          </cell>
        </row>
        <row r="532">
          <cell r="Z532" t="b">
            <v>0</v>
          </cell>
          <cell r="AA532" t="b">
            <v>0</v>
          </cell>
        </row>
        <row r="533">
          <cell r="Z533" t="b">
            <v>0</v>
          </cell>
          <cell r="AA533" t="b">
            <v>0</v>
          </cell>
        </row>
        <row r="534">
          <cell r="Z534" t="b">
            <v>0</v>
          </cell>
          <cell r="AA534" t="b">
            <v>0</v>
          </cell>
        </row>
        <row r="535">
          <cell r="Z535" t="b">
            <v>0</v>
          </cell>
          <cell r="AA535" t="b">
            <v>0</v>
          </cell>
        </row>
        <row r="536">
          <cell r="Z536" t="b">
            <v>0</v>
          </cell>
          <cell r="AA536" t="b">
            <v>0</v>
          </cell>
        </row>
        <row r="537">
          <cell r="Z537" t="b">
            <v>0</v>
          </cell>
          <cell r="AA537" t="b">
            <v>0</v>
          </cell>
        </row>
        <row r="538">
          <cell r="Z538" t="b">
            <v>0</v>
          </cell>
          <cell r="AA538" t="b">
            <v>0</v>
          </cell>
        </row>
        <row r="539">
          <cell r="Z539" t="b">
            <v>0</v>
          </cell>
          <cell r="AA539" t="b">
            <v>0</v>
          </cell>
        </row>
        <row r="540">
          <cell r="Z540" t="b">
            <v>0</v>
          </cell>
          <cell r="AA540" t="b">
            <v>0</v>
          </cell>
        </row>
        <row r="541">
          <cell r="Z541" t="b">
            <v>0</v>
          </cell>
          <cell r="AA541" t="b">
            <v>0</v>
          </cell>
        </row>
        <row r="542">
          <cell r="Z542" t="b">
            <v>0</v>
          </cell>
          <cell r="AA542" t="b">
            <v>0</v>
          </cell>
        </row>
        <row r="543">
          <cell r="Z543" t="b">
            <v>0</v>
          </cell>
          <cell r="AA543" t="b">
            <v>0</v>
          </cell>
        </row>
        <row r="544">
          <cell r="Z544" t="b">
            <v>0</v>
          </cell>
          <cell r="AA544" t="b">
            <v>0</v>
          </cell>
        </row>
        <row r="545">
          <cell r="Z545" t="b">
            <v>0</v>
          </cell>
          <cell r="AA545" t="b">
            <v>0</v>
          </cell>
        </row>
        <row r="546">
          <cell r="Z546" t="b">
            <v>0</v>
          </cell>
          <cell r="AA546" t="b">
            <v>0</v>
          </cell>
        </row>
        <row r="547">
          <cell r="Z547" t="b">
            <v>0</v>
          </cell>
          <cell r="AA547" t="b">
            <v>0</v>
          </cell>
        </row>
        <row r="548">
          <cell r="Z548" t="b">
            <v>0</v>
          </cell>
          <cell r="AA548" t="b">
            <v>0</v>
          </cell>
        </row>
        <row r="549">
          <cell r="Z549" t="b">
            <v>0</v>
          </cell>
          <cell r="AA549" t="b">
            <v>0</v>
          </cell>
        </row>
        <row r="550">
          <cell r="Z550" t="b">
            <v>0</v>
          </cell>
          <cell r="AA550" t="b">
            <v>0</v>
          </cell>
        </row>
        <row r="551">
          <cell r="Z551" t="b">
            <v>0</v>
          </cell>
          <cell r="AA551" t="b">
            <v>0</v>
          </cell>
        </row>
        <row r="552">
          <cell r="Z552" t="b">
            <v>0</v>
          </cell>
          <cell r="AA552" t="b">
            <v>0</v>
          </cell>
        </row>
        <row r="553">
          <cell r="Z553" t="b">
            <v>0</v>
          </cell>
          <cell r="AA553" t="b">
            <v>0</v>
          </cell>
        </row>
        <row r="554">
          <cell r="Z554" t="b">
            <v>0</v>
          </cell>
          <cell r="AA554" t="b">
            <v>0</v>
          </cell>
        </row>
        <row r="555">
          <cell r="Z555" t="b">
            <v>0</v>
          </cell>
          <cell r="AA555" t="b">
            <v>0</v>
          </cell>
        </row>
        <row r="556">
          <cell r="Z556" t="b">
            <v>0</v>
          </cell>
          <cell r="AA556" t="b">
            <v>0</v>
          </cell>
        </row>
        <row r="557">
          <cell r="Z557" t="b">
            <v>0</v>
          </cell>
          <cell r="AA557" t="b">
            <v>0</v>
          </cell>
        </row>
        <row r="558">
          <cell r="Z558" t="b">
            <v>0</v>
          </cell>
          <cell r="AA558" t="b">
            <v>0</v>
          </cell>
        </row>
        <row r="559">
          <cell r="Z559" t="b">
            <v>0</v>
          </cell>
          <cell r="AA559" t="b">
            <v>0</v>
          </cell>
        </row>
        <row r="560">
          <cell r="Z560" t="b">
            <v>0</v>
          </cell>
          <cell r="AA560" t="b">
            <v>0</v>
          </cell>
        </row>
        <row r="561">
          <cell r="Z561" t="b">
            <v>0</v>
          </cell>
          <cell r="AA561" t="b">
            <v>0</v>
          </cell>
        </row>
        <row r="562">
          <cell r="Z562" t="b">
            <v>0</v>
          </cell>
          <cell r="AA562" t="b">
            <v>0</v>
          </cell>
        </row>
        <row r="563">
          <cell r="Z563" t="b">
            <v>0</v>
          </cell>
          <cell r="AA563" t="b">
            <v>0</v>
          </cell>
        </row>
        <row r="564">
          <cell r="Z564" t="b">
            <v>0</v>
          </cell>
          <cell r="AA564" t="b">
            <v>0</v>
          </cell>
        </row>
        <row r="565">
          <cell r="Z565" t="b">
            <v>0</v>
          </cell>
          <cell r="AA565" t="b">
            <v>0</v>
          </cell>
        </row>
        <row r="566">
          <cell r="Z566" t="b">
            <v>0</v>
          </cell>
          <cell r="AA566" t="b">
            <v>0</v>
          </cell>
        </row>
        <row r="567">
          <cell r="Z567" t="b">
            <v>0</v>
          </cell>
          <cell r="AA567" t="b">
            <v>0</v>
          </cell>
        </row>
        <row r="568">
          <cell r="Z568" t="b">
            <v>0</v>
          </cell>
          <cell r="AA568" t="b">
            <v>0</v>
          </cell>
        </row>
        <row r="569">
          <cell r="Z569" t="b">
            <v>0</v>
          </cell>
          <cell r="AA569" t="b">
            <v>0</v>
          </cell>
        </row>
        <row r="570">
          <cell r="Z570" t="b">
            <v>0</v>
          </cell>
          <cell r="AA570" t="b">
            <v>0</v>
          </cell>
        </row>
        <row r="571">
          <cell r="Z571" t="b">
            <v>0</v>
          </cell>
          <cell r="AA571" t="b">
            <v>0</v>
          </cell>
        </row>
        <row r="572">
          <cell r="Z572" t="b">
            <v>0</v>
          </cell>
          <cell r="AA572" t="b">
            <v>0</v>
          </cell>
        </row>
        <row r="573">
          <cell r="Z573" t="b">
            <v>0</v>
          </cell>
          <cell r="AA573" t="b">
            <v>0</v>
          </cell>
        </row>
        <row r="574">
          <cell r="Z574" t="b">
            <v>0</v>
          </cell>
          <cell r="AA574" t="b">
            <v>0</v>
          </cell>
        </row>
        <row r="575">
          <cell r="Z575" t="b">
            <v>0</v>
          </cell>
          <cell r="AA575" t="b">
            <v>0</v>
          </cell>
        </row>
        <row r="576">
          <cell r="Z576" t="b">
            <v>0</v>
          </cell>
          <cell r="AA576" t="b">
            <v>0</v>
          </cell>
        </row>
        <row r="577">
          <cell r="Z577" t="b">
            <v>0</v>
          </cell>
          <cell r="AA577" t="b">
            <v>0</v>
          </cell>
        </row>
        <row r="578">
          <cell r="Z578" t="b">
            <v>0</v>
          </cell>
          <cell r="AA578" t="b">
            <v>0</v>
          </cell>
        </row>
        <row r="579">
          <cell r="Z579" t="b">
            <v>0</v>
          </cell>
          <cell r="AA579" t="b">
            <v>0</v>
          </cell>
        </row>
        <row r="580">
          <cell r="Z580" t="b">
            <v>0</v>
          </cell>
          <cell r="AA580" t="b">
            <v>0</v>
          </cell>
        </row>
        <row r="581">
          <cell r="Z581" t="b">
            <v>0</v>
          </cell>
          <cell r="AA581" t="b">
            <v>0</v>
          </cell>
        </row>
        <row r="582">
          <cell r="Z582" t="b">
            <v>0</v>
          </cell>
          <cell r="AA582" t="b">
            <v>0</v>
          </cell>
        </row>
        <row r="583">
          <cell r="Z583" t="b">
            <v>0</v>
          </cell>
          <cell r="AA583" t="b">
            <v>0</v>
          </cell>
        </row>
        <row r="584">
          <cell r="Z584" t="b">
            <v>0</v>
          </cell>
          <cell r="AA584" t="b">
            <v>0</v>
          </cell>
        </row>
        <row r="585">
          <cell r="Z585" t="b">
            <v>0</v>
          </cell>
          <cell r="AA585" t="b">
            <v>0</v>
          </cell>
        </row>
        <row r="586">
          <cell r="Z586" t="b">
            <v>0</v>
          </cell>
          <cell r="AA586" t="b">
            <v>0</v>
          </cell>
        </row>
        <row r="587">
          <cell r="Z587" t="b">
            <v>0</v>
          </cell>
          <cell r="AA587" t="b">
            <v>0</v>
          </cell>
        </row>
        <row r="588">
          <cell r="Z588" t="b">
            <v>0</v>
          </cell>
          <cell r="AA588" t="b">
            <v>0</v>
          </cell>
        </row>
        <row r="589">
          <cell r="Z589" t="b">
            <v>0</v>
          </cell>
          <cell r="AA589" t="b">
            <v>0</v>
          </cell>
        </row>
        <row r="590">
          <cell r="Z590" t="b">
            <v>0</v>
          </cell>
          <cell r="AA590" t="b">
            <v>0</v>
          </cell>
        </row>
        <row r="591">
          <cell r="Z591" t="b">
            <v>0</v>
          </cell>
          <cell r="AA591" t="b">
            <v>0</v>
          </cell>
        </row>
        <row r="592">
          <cell r="Z592" t="b">
            <v>0</v>
          </cell>
          <cell r="AA592" t="b">
            <v>0</v>
          </cell>
        </row>
        <row r="593">
          <cell r="Z593" t="b">
            <v>0</v>
          </cell>
          <cell r="AA593" t="b">
            <v>0</v>
          </cell>
        </row>
        <row r="594">
          <cell r="Z594" t="b">
            <v>0</v>
          </cell>
          <cell r="AA594" t="b">
            <v>0</v>
          </cell>
        </row>
        <row r="595">
          <cell r="Z595" t="b">
            <v>0</v>
          </cell>
          <cell r="AA595" t="b">
            <v>0</v>
          </cell>
        </row>
        <row r="596">
          <cell r="Z596" t="b">
            <v>0</v>
          </cell>
          <cell r="AA596" t="b">
            <v>0</v>
          </cell>
        </row>
        <row r="597">
          <cell r="Z597" t="b">
            <v>0</v>
          </cell>
          <cell r="AA597" t="b">
            <v>0</v>
          </cell>
        </row>
        <row r="598">
          <cell r="Z598" t="b">
            <v>0</v>
          </cell>
          <cell r="AA598" t="b">
            <v>0</v>
          </cell>
        </row>
        <row r="599">
          <cell r="Z599" t="b">
            <v>0</v>
          </cell>
          <cell r="AA599" t="b">
            <v>0</v>
          </cell>
        </row>
        <row r="600">
          <cell r="Z600" t="b">
            <v>0</v>
          </cell>
          <cell r="AA600" t="b">
            <v>0</v>
          </cell>
        </row>
        <row r="601">
          <cell r="Z601" t="b">
            <v>0</v>
          </cell>
          <cell r="AA601" t="b">
            <v>0</v>
          </cell>
        </row>
        <row r="602">
          <cell r="Z602" t="b">
            <v>0</v>
          </cell>
          <cell r="AA602" t="b">
            <v>0</v>
          </cell>
        </row>
        <row r="603">
          <cell r="Z603" t="b">
            <v>0</v>
          </cell>
          <cell r="AA603" t="b">
            <v>0</v>
          </cell>
        </row>
        <row r="604">
          <cell r="Z604" t="b">
            <v>0</v>
          </cell>
          <cell r="AA604" t="b">
            <v>0</v>
          </cell>
        </row>
        <row r="605">
          <cell r="Z605" t="b">
            <v>0</v>
          </cell>
          <cell r="AA605" t="b">
            <v>0</v>
          </cell>
        </row>
        <row r="606">
          <cell r="Z606" t="b">
            <v>0</v>
          </cell>
          <cell r="AA606" t="b">
            <v>0</v>
          </cell>
        </row>
        <row r="607">
          <cell r="Z607" t="b">
            <v>0</v>
          </cell>
          <cell r="AA607" t="b">
            <v>0</v>
          </cell>
        </row>
        <row r="608">
          <cell r="Z608" t="b">
            <v>0</v>
          </cell>
          <cell r="AA608" t="b">
            <v>0</v>
          </cell>
        </row>
        <row r="609">
          <cell r="Z609" t="b">
            <v>0</v>
          </cell>
          <cell r="AA609" t="b">
            <v>0</v>
          </cell>
        </row>
        <row r="610">
          <cell r="Z610" t="b">
            <v>0</v>
          </cell>
          <cell r="AA610" t="b">
            <v>0</v>
          </cell>
        </row>
        <row r="611">
          <cell r="Z611" t="b">
            <v>0</v>
          </cell>
          <cell r="AA611" t="b">
            <v>0</v>
          </cell>
        </row>
        <row r="612">
          <cell r="Z612" t="b">
            <v>0</v>
          </cell>
          <cell r="AA612" t="b">
            <v>0</v>
          </cell>
        </row>
        <row r="613">
          <cell r="Z613" t="b">
            <v>0</v>
          </cell>
          <cell r="AA613" t="b">
            <v>0</v>
          </cell>
        </row>
        <row r="614">
          <cell r="Z614" t="b">
            <v>0</v>
          </cell>
          <cell r="AA614" t="b">
            <v>0</v>
          </cell>
        </row>
        <row r="615">
          <cell r="Z615" t="b">
            <v>0</v>
          </cell>
          <cell r="AA615" t="b">
            <v>0</v>
          </cell>
        </row>
        <row r="616">
          <cell r="Z616" t="b">
            <v>0</v>
          </cell>
          <cell r="AA616" t="b">
            <v>0</v>
          </cell>
        </row>
        <row r="617">
          <cell r="Z617" t="b">
            <v>0</v>
          </cell>
          <cell r="AA617" t="b">
            <v>0</v>
          </cell>
        </row>
        <row r="618">
          <cell r="Z618" t="b">
            <v>0</v>
          </cell>
          <cell r="AA618" t="b">
            <v>0</v>
          </cell>
        </row>
        <row r="619">
          <cell r="Z619" t="b">
            <v>0</v>
          </cell>
          <cell r="AA619" t="b">
            <v>0</v>
          </cell>
        </row>
        <row r="620">
          <cell r="Z620" t="b">
            <v>0</v>
          </cell>
          <cell r="AA620" t="b">
            <v>0</v>
          </cell>
        </row>
        <row r="621">
          <cell r="Z621" t="b">
            <v>0</v>
          </cell>
          <cell r="AA621" t="b">
            <v>0</v>
          </cell>
        </row>
        <row r="622">
          <cell r="Z622" t="b">
            <v>0</v>
          </cell>
          <cell r="AA622" t="b">
            <v>0</v>
          </cell>
        </row>
        <row r="623">
          <cell r="Z623" t="b">
            <v>0</v>
          </cell>
          <cell r="AA623" t="b">
            <v>0</v>
          </cell>
        </row>
        <row r="624">
          <cell r="Z624" t="b">
            <v>0</v>
          </cell>
          <cell r="AA624" t="b">
            <v>0</v>
          </cell>
        </row>
        <row r="625">
          <cell r="Z625" t="b">
            <v>0</v>
          </cell>
          <cell r="AA625" t="b">
            <v>0</v>
          </cell>
        </row>
        <row r="626">
          <cell r="Z626" t="b">
            <v>0</v>
          </cell>
          <cell r="AA626" t="b">
            <v>0</v>
          </cell>
        </row>
        <row r="627">
          <cell r="Z627" t="b">
            <v>0</v>
          </cell>
          <cell r="AA627" t="b">
            <v>0</v>
          </cell>
        </row>
        <row r="628">
          <cell r="Z628" t="b">
            <v>0</v>
          </cell>
          <cell r="AA628" t="b">
            <v>0</v>
          </cell>
        </row>
        <row r="629">
          <cell r="Z629" t="b">
            <v>0</v>
          </cell>
          <cell r="AA629" t="b">
            <v>0</v>
          </cell>
        </row>
        <row r="630">
          <cell r="Z630" t="b">
            <v>0</v>
          </cell>
          <cell r="AA630" t="b">
            <v>0</v>
          </cell>
        </row>
        <row r="631">
          <cell r="Z631" t="b">
            <v>0</v>
          </cell>
          <cell r="AA631" t="b">
            <v>0</v>
          </cell>
        </row>
        <row r="632">
          <cell r="Z632" t="b">
            <v>0</v>
          </cell>
          <cell r="AA632" t="b">
            <v>0</v>
          </cell>
        </row>
        <row r="633">
          <cell r="Z633" t="b">
            <v>0</v>
          </cell>
          <cell r="AA633" t="b">
            <v>0</v>
          </cell>
        </row>
        <row r="634">
          <cell r="Z634" t="b">
            <v>0</v>
          </cell>
          <cell r="AA634" t="b">
            <v>0</v>
          </cell>
        </row>
        <row r="635">
          <cell r="Z635" t="b">
            <v>0</v>
          </cell>
          <cell r="AA635" t="b">
            <v>0</v>
          </cell>
        </row>
        <row r="636">
          <cell r="Z636" t="b">
            <v>0</v>
          </cell>
          <cell r="AA636" t="b">
            <v>0</v>
          </cell>
        </row>
        <row r="637">
          <cell r="Z637" t="b">
            <v>0</v>
          </cell>
          <cell r="AA637" t="b">
            <v>0</v>
          </cell>
        </row>
        <row r="638">
          <cell r="Z638" t="b">
            <v>0</v>
          </cell>
          <cell r="AA638" t="b">
            <v>0</v>
          </cell>
        </row>
        <row r="639">
          <cell r="Z639" t="b">
            <v>0</v>
          </cell>
          <cell r="AA639" t="b">
            <v>0</v>
          </cell>
        </row>
        <row r="640">
          <cell r="Z640" t="b">
            <v>0</v>
          </cell>
          <cell r="AA640" t="b">
            <v>0</v>
          </cell>
        </row>
        <row r="641">
          <cell r="Z641" t="b">
            <v>0</v>
          </cell>
          <cell r="AA641" t="b">
            <v>0</v>
          </cell>
        </row>
        <row r="642">
          <cell r="Z642" t="b">
            <v>0</v>
          </cell>
          <cell r="AA642" t="b">
            <v>0</v>
          </cell>
        </row>
        <row r="643">
          <cell r="Z643" t="b">
            <v>0</v>
          </cell>
          <cell r="AA643" t="b">
            <v>0</v>
          </cell>
        </row>
        <row r="644">
          <cell r="Z644" t="b">
            <v>0</v>
          </cell>
          <cell r="AA644" t="b">
            <v>0</v>
          </cell>
        </row>
        <row r="645">
          <cell r="Z645" t="b">
            <v>0</v>
          </cell>
          <cell r="AA645" t="b">
            <v>0</v>
          </cell>
        </row>
        <row r="646">
          <cell r="Z646" t="b">
            <v>0</v>
          </cell>
          <cell r="AA646" t="b">
            <v>0</v>
          </cell>
        </row>
        <row r="647">
          <cell r="Z647" t="b">
            <v>0</v>
          </cell>
          <cell r="AA647" t="b">
            <v>0</v>
          </cell>
        </row>
        <row r="648">
          <cell r="Z648" t="b">
            <v>0</v>
          </cell>
          <cell r="AA648" t="b">
            <v>0</v>
          </cell>
        </row>
        <row r="649">
          <cell r="Z649" t="b">
            <v>0</v>
          </cell>
          <cell r="AA649" t="b">
            <v>0</v>
          </cell>
        </row>
        <row r="650">
          <cell r="Z650" t="b">
            <v>0</v>
          </cell>
          <cell r="AA650" t="b">
            <v>0</v>
          </cell>
        </row>
        <row r="651">
          <cell r="Z651" t="b">
            <v>0</v>
          </cell>
          <cell r="AA651" t="b">
            <v>0</v>
          </cell>
        </row>
        <row r="652">
          <cell r="Z652" t="b">
            <v>0</v>
          </cell>
          <cell r="AA652" t="b">
            <v>0</v>
          </cell>
        </row>
        <row r="653">
          <cell r="Z653" t="b">
            <v>0</v>
          </cell>
          <cell r="AA653" t="b">
            <v>0</v>
          </cell>
        </row>
        <row r="654">
          <cell r="Z654" t="b">
            <v>0</v>
          </cell>
          <cell r="AA654" t="b">
            <v>0</v>
          </cell>
        </row>
        <row r="655">
          <cell r="Z655" t="b">
            <v>0</v>
          </cell>
          <cell r="AA655" t="b">
            <v>0</v>
          </cell>
        </row>
        <row r="656">
          <cell r="Z656" t="b">
            <v>0</v>
          </cell>
          <cell r="AA656" t="b">
            <v>0</v>
          </cell>
        </row>
        <row r="657">
          <cell r="Z657" t="b">
            <v>0</v>
          </cell>
          <cell r="AA657" t="b">
            <v>0</v>
          </cell>
        </row>
        <row r="658">
          <cell r="Z658" t="b">
            <v>0</v>
          </cell>
          <cell r="AA658" t="b">
            <v>0</v>
          </cell>
        </row>
        <row r="659">
          <cell r="Z659" t="b">
            <v>0</v>
          </cell>
          <cell r="AA659" t="b">
            <v>0</v>
          </cell>
        </row>
        <row r="660">
          <cell r="Z660" t="b">
            <v>0</v>
          </cell>
          <cell r="AA660" t="b">
            <v>0</v>
          </cell>
        </row>
        <row r="661">
          <cell r="Z661" t="b">
            <v>0</v>
          </cell>
          <cell r="AA661" t="b">
            <v>0</v>
          </cell>
        </row>
        <row r="662">
          <cell r="Z662" t="b">
            <v>0</v>
          </cell>
          <cell r="AA662" t="b">
            <v>0</v>
          </cell>
        </row>
        <row r="663">
          <cell r="Z663" t="b">
            <v>0</v>
          </cell>
          <cell r="AA663" t="b">
            <v>0</v>
          </cell>
        </row>
        <row r="664">
          <cell r="Z664" t="b">
            <v>0</v>
          </cell>
          <cell r="AA664" t="b">
            <v>0</v>
          </cell>
        </row>
        <row r="665">
          <cell r="Z665" t="b">
            <v>0</v>
          </cell>
          <cell r="AA665" t="b">
            <v>0</v>
          </cell>
        </row>
        <row r="666">
          <cell r="Z666" t="b">
            <v>0</v>
          </cell>
          <cell r="AA666" t="b">
            <v>0</v>
          </cell>
        </row>
        <row r="667">
          <cell r="Z667" t="b">
            <v>0</v>
          </cell>
          <cell r="AA667" t="b">
            <v>0</v>
          </cell>
        </row>
        <row r="668">
          <cell r="Z668" t="b">
            <v>0</v>
          </cell>
          <cell r="AA668" t="b">
            <v>0</v>
          </cell>
        </row>
        <row r="669">
          <cell r="Z669" t="b">
            <v>0</v>
          </cell>
          <cell r="AA669" t="b">
            <v>0</v>
          </cell>
        </row>
        <row r="670">
          <cell r="Z670" t="b">
            <v>0</v>
          </cell>
          <cell r="AA670" t="b">
            <v>0</v>
          </cell>
        </row>
        <row r="671">
          <cell r="Z671" t="b">
            <v>0</v>
          </cell>
          <cell r="AA671" t="b">
            <v>0</v>
          </cell>
        </row>
        <row r="672">
          <cell r="Z672" t="b">
            <v>0</v>
          </cell>
          <cell r="AA672" t="b">
            <v>0</v>
          </cell>
        </row>
        <row r="673">
          <cell r="Z673" t="b">
            <v>0</v>
          </cell>
          <cell r="AA673" t="b">
            <v>0</v>
          </cell>
        </row>
        <row r="674">
          <cell r="Z674" t="b">
            <v>0</v>
          </cell>
          <cell r="AA674" t="b">
            <v>0</v>
          </cell>
        </row>
        <row r="675">
          <cell r="Z675" t="b">
            <v>0</v>
          </cell>
          <cell r="AA675" t="b">
            <v>0</v>
          </cell>
        </row>
        <row r="676">
          <cell r="Z676" t="b">
            <v>0</v>
          </cell>
          <cell r="AA676" t="b">
            <v>0</v>
          </cell>
        </row>
        <row r="677">
          <cell r="Z677" t="b">
            <v>0</v>
          </cell>
          <cell r="AA677" t="b">
            <v>0</v>
          </cell>
        </row>
        <row r="678">
          <cell r="Z678" t="b">
            <v>0</v>
          </cell>
          <cell r="AA678" t="b">
            <v>0</v>
          </cell>
        </row>
        <row r="679">
          <cell r="Z679" t="b">
            <v>0</v>
          </cell>
          <cell r="AA679" t="b">
            <v>0</v>
          </cell>
        </row>
        <row r="680">
          <cell r="Z680" t="b">
            <v>0</v>
          </cell>
          <cell r="AA680" t="b">
            <v>0</v>
          </cell>
        </row>
        <row r="681">
          <cell r="Z681" t="b">
            <v>0</v>
          </cell>
          <cell r="AA681" t="b">
            <v>0</v>
          </cell>
        </row>
        <row r="682">
          <cell r="Z682" t="b">
            <v>0</v>
          </cell>
          <cell r="AA682" t="b">
            <v>0</v>
          </cell>
        </row>
        <row r="683">
          <cell r="Z683" t="b">
            <v>0</v>
          </cell>
          <cell r="AA683" t="b">
            <v>0</v>
          </cell>
        </row>
        <row r="684">
          <cell r="Z684" t="b">
            <v>0</v>
          </cell>
          <cell r="AA684" t="b">
            <v>0</v>
          </cell>
        </row>
        <row r="685">
          <cell r="Z685" t="b">
            <v>0</v>
          </cell>
          <cell r="AA685" t="b">
            <v>0</v>
          </cell>
        </row>
        <row r="686">
          <cell r="Z686" t="b">
            <v>0</v>
          </cell>
          <cell r="AA686" t="b">
            <v>0</v>
          </cell>
        </row>
        <row r="687">
          <cell r="Z687" t="b">
            <v>0</v>
          </cell>
          <cell r="AA687" t="b">
            <v>0</v>
          </cell>
        </row>
        <row r="688">
          <cell r="Z688" t="b">
            <v>0</v>
          </cell>
          <cell r="AA688" t="b">
            <v>0</v>
          </cell>
        </row>
        <row r="689">
          <cell r="Z689" t="b">
            <v>0</v>
          </cell>
          <cell r="AA689" t="b">
            <v>0</v>
          </cell>
        </row>
        <row r="690">
          <cell r="Z690" t="b">
            <v>0</v>
          </cell>
          <cell r="AA690" t="b">
            <v>0</v>
          </cell>
        </row>
        <row r="691">
          <cell r="Z691" t="b">
            <v>0</v>
          </cell>
          <cell r="AA691" t="b">
            <v>0</v>
          </cell>
        </row>
        <row r="692">
          <cell r="Z692" t="b">
            <v>0</v>
          </cell>
          <cell r="AA692" t="b">
            <v>0</v>
          </cell>
        </row>
        <row r="693">
          <cell r="Z693" t="b">
            <v>0</v>
          </cell>
          <cell r="AA693" t="b">
            <v>0</v>
          </cell>
        </row>
        <row r="694">
          <cell r="Z694" t="b">
            <v>0</v>
          </cell>
          <cell r="AA694" t="b">
            <v>0</v>
          </cell>
        </row>
        <row r="695">
          <cell r="Z695" t="b">
            <v>0</v>
          </cell>
          <cell r="AA695" t="b">
            <v>0</v>
          </cell>
        </row>
        <row r="696">
          <cell r="Z696" t="b">
            <v>0</v>
          </cell>
          <cell r="AA696" t="b">
            <v>0</v>
          </cell>
        </row>
        <row r="697">
          <cell r="Z697" t="b">
            <v>0</v>
          </cell>
          <cell r="AA697" t="b">
            <v>0</v>
          </cell>
        </row>
        <row r="698">
          <cell r="Z698" t="b">
            <v>0</v>
          </cell>
          <cell r="AA698" t="b">
            <v>0</v>
          </cell>
        </row>
        <row r="699">
          <cell r="Z699" t="b">
            <v>0</v>
          </cell>
          <cell r="AA699" t="b">
            <v>0</v>
          </cell>
        </row>
        <row r="700">
          <cell r="Z700" t="b">
            <v>0</v>
          </cell>
          <cell r="AA700" t="b">
            <v>0</v>
          </cell>
        </row>
        <row r="701">
          <cell r="Z701" t="b">
            <v>0</v>
          </cell>
          <cell r="AA701" t="b">
            <v>0</v>
          </cell>
        </row>
        <row r="702">
          <cell r="Z702" t="b">
            <v>0</v>
          </cell>
          <cell r="AA702" t="b">
            <v>0</v>
          </cell>
        </row>
        <row r="703">
          <cell r="Z703" t="b">
            <v>0</v>
          </cell>
          <cell r="AA703" t="b">
            <v>0</v>
          </cell>
        </row>
        <row r="704">
          <cell r="Z704" t="b">
            <v>0</v>
          </cell>
          <cell r="AA704" t="b">
            <v>0</v>
          </cell>
        </row>
        <row r="705">
          <cell r="Z705" t="b">
            <v>0</v>
          </cell>
          <cell r="AA705" t="b">
            <v>0</v>
          </cell>
        </row>
        <row r="706">
          <cell r="Z706" t="b">
            <v>0</v>
          </cell>
          <cell r="AA706" t="b">
            <v>0</v>
          </cell>
        </row>
        <row r="707">
          <cell r="Z707" t="b">
            <v>0</v>
          </cell>
          <cell r="AA707" t="b">
            <v>0</v>
          </cell>
        </row>
        <row r="708">
          <cell r="Z708" t="b">
            <v>0</v>
          </cell>
          <cell r="AA708" t="b">
            <v>0</v>
          </cell>
        </row>
        <row r="709">
          <cell r="Z709" t="b">
            <v>0</v>
          </cell>
          <cell r="AA709" t="b">
            <v>0</v>
          </cell>
        </row>
        <row r="710">
          <cell r="Z710" t="b">
            <v>0</v>
          </cell>
          <cell r="AA710" t="b">
            <v>0</v>
          </cell>
        </row>
        <row r="711">
          <cell r="Z711" t="b">
            <v>0</v>
          </cell>
          <cell r="AA711" t="b">
            <v>0</v>
          </cell>
        </row>
        <row r="712">
          <cell r="Z712" t="b">
            <v>0</v>
          </cell>
          <cell r="AA712" t="b">
            <v>0</v>
          </cell>
        </row>
        <row r="713">
          <cell r="Z713" t="b">
            <v>0</v>
          </cell>
          <cell r="AA713" t="b">
            <v>0</v>
          </cell>
        </row>
        <row r="714">
          <cell r="Z714" t="b">
            <v>0</v>
          </cell>
          <cell r="AA714" t="b">
            <v>0</v>
          </cell>
        </row>
        <row r="715">
          <cell r="Z715" t="b">
            <v>0</v>
          </cell>
          <cell r="AA715" t="b">
            <v>0</v>
          </cell>
        </row>
        <row r="716">
          <cell r="Z716" t="b">
            <v>0</v>
          </cell>
          <cell r="AA716" t="b">
            <v>0</v>
          </cell>
        </row>
        <row r="717">
          <cell r="Z717" t="b">
            <v>0</v>
          </cell>
          <cell r="AA717" t="b">
            <v>0</v>
          </cell>
        </row>
        <row r="718">
          <cell r="Z718" t="b">
            <v>0</v>
          </cell>
          <cell r="AA718" t="b">
            <v>0</v>
          </cell>
        </row>
        <row r="719">
          <cell r="Z719" t="b">
            <v>0</v>
          </cell>
          <cell r="AA719" t="b">
            <v>0</v>
          </cell>
        </row>
        <row r="720">
          <cell r="Z720" t="b">
            <v>0</v>
          </cell>
          <cell r="AA720" t="b">
            <v>0</v>
          </cell>
        </row>
        <row r="721">
          <cell r="Z721" t="b">
            <v>0</v>
          </cell>
          <cell r="AA721" t="b">
            <v>0</v>
          </cell>
        </row>
        <row r="722">
          <cell r="Z722" t="b">
            <v>0</v>
          </cell>
          <cell r="AA722" t="b">
            <v>0</v>
          </cell>
        </row>
        <row r="723">
          <cell r="Z723" t="b">
            <v>0</v>
          </cell>
          <cell r="AA723" t="b">
            <v>0</v>
          </cell>
        </row>
        <row r="724">
          <cell r="Z724" t="b">
            <v>0</v>
          </cell>
          <cell r="AA724" t="b">
            <v>0</v>
          </cell>
        </row>
        <row r="725">
          <cell r="Z725" t="b">
            <v>0</v>
          </cell>
          <cell r="AA725" t="b">
            <v>0</v>
          </cell>
        </row>
        <row r="726">
          <cell r="Z726" t="b">
            <v>0</v>
          </cell>
          <cell r="AA726" t="b">
            <v>0</v>
          </cell>
        </row>
        <row r="727">
          <cell r="Z727" t="b">
            <v>0</v>
          </cell>
          <cell r="AA727" t="b">
            <v>0</v>
          </cell>
        </row>
        <row r="728">
          <cell r="Z728" t="b">
            <v>0</v>
          </cell>
          <cell r="AA728" t="b">
            <v>0</v>
          </cell>
        </row>
        <row r="729">
          <cell r="Z729" t="b">
            <v>0</v>
          </cell>
          <cell r="AA729" t="b">
            <v>0</v>
          </cell>
        </row>
        <row r="730">
          <cell r="Z730" t="b">
            <v>0</v>
          </cell>
          <cell r="AA730" t="b">
            <v>0</v>
          </cell>
        </row>
        <row r="731">
          <cell r="Z731" t="b">
            <v>0</v>
          </cell>
          <cell r="AA731" t="b">
            <v>0</v>
          </cell>
        </row>
        <row r="732">
          <cell r="Z732" t="b">
            <v>0</v>
          </cell>
          <cell r="AA732" t="b">
            <v>0</v>
          </cell>
        </row>
        <row r="733">
          <cell r="Z733" t="b">
            <v>0</v>
          </cell>
          <cell r="AA733" t="b">
            <v>0</v>
          </cell>
        </row>
        <row r="734">
          <cell r="Z734" t="b">
            <v>0</v>
          </cell>
          <cell r="AA734" t="b">
            <v>0</v>
          </cell>
        </row>
        <row r="735">
          <cell r="Z735" t="b">
            <v>0</v>
          </cell>
          <cell r="AA735" t="b">
            <v>0</v>
          </cell>
        </row>
        <row r="736">
          <cell r="Z736" t="b">
            <v>0</v>
          </cell>
          <cell r="AA736" t="b">
            <v>0</v>
          </cell>
        </row>
        <row r="737">
          <cell r="Z737" t="b">
            <v>0</v>
          </cell>
          <cell r="AA737" t="b">
            <v>0</v>
          </cell>
        </row>
        <row r="738">
          <cell r="Z738" t="b">
            <v>0</v>
          </cell>
          <cell r="AA738" t="b">
            <v>0</v>
          </cell>
        </row>
        <row r="739">
          <cell r="Z739" t="b">
            <v>0</v>
          </cell>
          <cell r="AA739" t="b">
            <v>0</v>
          </cell>
        </row>
        <row r="740">
          <cell r="Z740" t="b">
            <v>0</v>
          </cell>
          <cell r="AA740" t="b">
            <v>0</v>
          </cell>
        </row>
        <row r="741">
          <cell r="Z741" t="b">
            <v>0</v>
          </cell>
          <cell r="AA741" t="b">
            <v>0</v>
          </cell>
        </row>
        <row r="742">
          <cell r="Z742" t="b">
            <v>0</v>
          </cell>
          <cell r="AA742" t="b">
            <v>0</v>
          </cell>
        </row>
        <row r="743">
          <cell r="Z743" t="b">
            <v>0</v>
          </cell>
          <cell r="AA743" t="b">
            <v>0</v>
          </cell>
        </row>
        <row r="744">
          <cell r="Z744" t="b">
            <v>0</v>
          </cell>
          <cell r="AA744" t="b">
            <v>0</v>
          </cell>
        </row>
        <row r="745">
          <cell r="Z745" t="b">
            <v>0</v>
          </cell>
          <cell r="AA745" t="b">
            <v>0</v>
          </cell>
        </row>
        <row r="746">
          <cell r="Z746" t="b">
            <v>0</v>
          </cell>
          <cell r="AA746" t="b">
            <v>0</v>
          </cell>
        </row>
        <row r="747">
          <cell r="Z747" t="b">
            <v>0</v>
          </cell>
          <cell r="AA747" t="b">
            <v>0</v>
          </cell>
        </row>
        <row r="748">
          <cell r="Z748" t="b">
            <v>0</v>
          </cell>
          <cell r="AA748" t="b">
            <v>0</v>
          </cell>
        </row>
        <row r="749">
          <cell r="Z749" t="b">
            <v>0</v>
          </cell>
          <cell r="AA749" t="b">
            <v>0</v>
          </cell>
        </row>
        <row r="750">
          <cell r="Z750" t="b">
            <v>0</v>
          </cell>
          <cell r="AA750" t="b">
            <v>0</v>
          </cell>
        </row>
        <row r="751">
          <cell r="Z751" t="b">
            <v>0</v>
          </cell>
          <cell r="AA751" t="b">
            <v>0</v>
          </cell>
        </row>
        <row r="752">
          <cell r="Z752" t="b">
            <v>0</v>
          </cell>
          <cell r="AA752" t="b">
            <v>0</v>
          </cell>
        </row>
        <row r="753">
          <cell r="Z753" t="b">
            <v>0</v>
          </cell>
          <cell r="AA753" t="b">
            <v>0</v>
          </cell>
        </row>
        <row r="754">
          <cell r="Z754" t="b">
            <v>0</v>
          </cell>
          <cell r="AA754" t="b">
            <v>0</v>
          </cell>
        </row>
        <row r="755">
          <cell r="Z755" t="b">
            <v>0</v>
          </cell>
          <cell r="AA755" t="b">
            <v>0</v>
          </cell>
        </row>
        <row r="756">
          <cell r="Z756" t="b">
            <v>0</v>
          </cell>
          <cell r="AA756" t="b">
            <v>0</v>
          </cell>
        </row>
        <row r="757">
          <cell r="Z757" t="b">
            <v>0</v>
          </cell>
          <cell r="AA757" t="b">
            <v>0</v>
          </cell>
        </row>
        <row r="758">
          <cell r="Z758" t="b">
            <v>0</v>
          </cell>
          <cell r="AA758" t="b">
            <v>0</v>
          </cell>
        </row>
        <row r="759">
          <cell r="Z759" t="b">
            <v>0</v>
          </cell>
          <cell r="AA759" t="b">
            <v>0</v>
          </cell>
        </row>
        <row r="760">
          <cell r="Z760" t="b">
            <v>0</v>
          </cell>
          <cell r="AA760" t="b">
            <v>0</v>
          </cell>
        </row>
        <row r="761">
          <cell r="Z761" t="b">
            <v>0</v>
          </cell>
          <cell r="AA761" t="b">
            <v>0</v>
          </cell>
        </row>
        <row r="762">
          <cell r="Z762" t="b">
            <v>0</v>
          </cell>
          <cell r="AA762" t="b">
            <v>0</v>
          </cell>
        </row>
        <row r="763">
          <cell r="Z763" t="b">
            <v>0</v>
          </cell>
          <cell r="AA763" t="b">
            <v>0</v>
          </cell>
        </row>
        <row r="764">
          <cell r="Z764" t="b">
            <v>0</v>
          </cell>
          <cell r="AA764" t="b">
            <v>0</v>
          </cell>
        </row>
        <row r="765">
          <cell r="Z765" t="b">
            <v>0</v>
          </cell>
          <cell r="AA765" t="b">
            <v>0</v>
          </cell>
        </row>
        <row r="766">
          <cell r="Z766" t="b">
            <v>0</v>
          </cell>
          <cell r="AA766" t="b">
            <v>0</v>
          </cell>
        </row>
        <row r="767">
          <cell r="Z767" t="b">
            <v>0</v>
          </cell>
          <cell r="AA767" t="b">
            <v>0</v>
          </cell>
        </row>
        <row r="768">
          <cell r="Z768" t="b">
            <v>0</v>
          </cell>
          <cell r="AA768" t="b">
            <v>0</v>
          </cell>
        </row>
        <row r="769">
          <cell r="Z769" t="b">
            <v>0</v>
          </cell>
          <cell r="AA769" t="b">
            <v>0</v>
          </cell>
        </row>
        <row r="770">
          <cell r="Z770" t="b">
            <v>0</v>
          </cell>
          <cell r="AA770" t="b">
            <v>0</v>
          </cell>
        </row>
        <row r="771">
          <cell r="Z771" t="b">
            <v>0</v>
          </cell>
          <cell r="AA771" t="b">
            <v>0</v>
          </cell>
        </row>
        <row r="772">
          <cell r="Z772" t="b">
            <v>0</v>
          </cell>
          <cell r="AA772" t="b">
            <v>0</v>
          </cell>
        </row>
        <row r="773">
          <cell r="Z773" t="b">
            <v>0</v>
          </cell>
          <cell r="AA773" t="b">
            <v>0</v>
          </cell>
        </row>
        <row r="774">
          <cell r="Z774" t="b">
            <v>0</v>
          </cell>
          <cell r="AA774" t="b">
            <v>0</v>
          </cell>
        </row>
        <row r="775">
          <cell r="Z775" t="b">
            <v>0</v>
          </cell>
          <cell r="AA775" t="b">
            <v>0</v>
          </cell>
        </row>
        <row r="776">
          <cell r="Z776" t="b">
            <v>0</v>
          </cell>
          <cell r="AA776" t="b">
            <v>0</v>
          </cell>
        </row>
        <row r="777">
          <cell r="Z777" t="b">
            <v>0</v>
          </cell>
          <cell r="AA777" t="b">
            <v>0</v>
          </cell>
        </row>
        <row r="778">
          <cell r="Z778" t="b">
            <v>0</v>
          </cell>
          <cell r="AA778" t="b">
            <v>0</v>
          </cell>
        </row>
        <row r="779">
          <cell r="Z779" t="b">
            <v>0</v>
          </cell>
          <cell r="AA779" t="b">
            <v>0</v>
          </cell>
        </row>
        <row r="780">
          <cell r="Z780" t="b">
            <v>0</v>
          </cell>
          <cell r="AA780" t="b">
            <v>0</v>
          </cell>
        </row>
        <row r="781">
          <cell r="Z781" t="b">
            <v>0</v>
          </cell>
          <cell r="AA781" t="b">
            <v>0</v>
          </cell>
        </row>
        <row r="782">
          <cell r="Z782" t="b">
            <v>0</v>
          </cell>
          <cell r="AA782" t="b">
            <v>0</v>
          </cell>
        </row>
        <row r="783">
          <cell r="Z783" t="b">
            <v>0</v>
          </cell>
          <cell r="AA783" t="b">
            <v>0</v>
          </cell>
        </row>
        <row r="784">
          <cell r="Z784" t="b">
            <v>0</v>
          </cell>
          <cell r="AA784" t="b">
            <v>0</v>
          </cell>
        </row>
        <row r="785">
          <cell r="Z785" t="b">
            <v>0</v>
          </cell>
          <cell r="AA785" t="b">
            <v>0</v>
          </cell>
        </row>
        <row r="786">
          <cell r="Z786" t="b">
            <v>0</v>
          </cell>
          <cell r="AA786" t="b">
            <v>0</v>
          </cell>
        </row>
        <row r="787">
          <cell r="Z787" t="b">
            <v>0</v>
          </cell>
          <cell r="AA787" t="b">
            <v>0</v>
          </cell>
        </row>
        <row r="788">
          <cell r="Z788" t="b">
            <v>0</v>
          </cell>
          <cell r="AA788" t="b">
            <v>0</v>
          </cell>
        </row>
        <row r="789">
          <cell r="Z789" t="b">
            <v>0</v>
          </cell>
          <cell r="AA789" t="b">
            <v>0</v>
          </cell>
        </row>
        <row r="790">
          <cell r="Z790" t="b">
            <v>0</v>
          </cell>
          <cell r="AA790" t="b">
            <v>0</v>
          </cell>
        </row>
        <row r="791">
          <cell r="Z791" t="b">
            <v>0</v>
          </cell>
          <cell r="AA791" t="b">
            <v>0</v>
          </cell>
        </row>
        <row r="792">
          <cell r="Z792" t="b">
            <v>0</v>
          </cell>
          <cell r="AA792" t="b">
            <v>0</v>
          </cell>
        </row>
        <row r="793">
          <cell r="Z793" t="b">
            <v>0</v>
          </cell>
          <cell r="AA793" t="b">
            <v>0</v>
          </cell>
        </row>
        <row r="794">
          <cell r="Z794" t="b">
            <v>0</v>
          </cell>
          <cell r="AA794" t="b">
            <v>0</v>
          </cell>
        </row>
        <row r="795">
          <cell r="Z795" t="b">
            <v>0</v>
          </cell>
          <cell r="AA795" t="b">
            <v>0</v>
          </cell>
        </row>
        <row r="796">
          <cell r="Z796" t="b">
            <v>0</v>
          </cell>
          <cell r="AA796" t="b">
            <v>0</v>
          </cell>
        </row>
        <row r="797">
          <cell r="Z797" t="b">
            <v>0</v>
          </cell>
          <cell r="AA797" t="b">
            <v>0</v>
          </cell>
        </row>
        <row r="798">
          <cell r="Z798" t="b">
            <v>0</v>
          </cell>
          <cell r="AA798" t="b">
            <v>0</v>
          </cell>
        </row>
        <row r="799">
          <cell r="Z799" t="b">
            <v>0</v>
          </cell>
          <cell r="AA799" t="b">
            <v>0</v>
          </cell>
        </row>
        <row r="800">
          <cell r="Z800" t="b">
            <v>0</v>
          </cell>
          <cell r="AA800" t="b">
            <v>0</v>
          </cell>
        </row>
        <row r="801">
          <cell r="Z801" t="b">
            <v>0</v>
          </cell>
          <cell r="AA801" t="b">
            <v>0</v>
          </cell>
        </row>
        <row r="802">
          <cell r="Z802" t="b">
            <v>0</v>
          </cell>
          <cell r="AA802" t="b">
            <v>0</v>
          </cell>
        </row>
        <row r="803">
          <cell r="Z803" t="b">
            <v>0</v>
          </cell>
          <cell r="AA803" t="b">
            <v>0</v>
          </cell>
        </row>
        <row r="804">
          <cell r="Z804" t="b">
            <v>0</v>
          </cell>
          <cell r="AA804" t="b">
            <v>0</v>
          </cell>
        </row>
        <row r="805">
          <cell r="Z805" t="b">
            <v>0</v>
          </cell>
          <cell r="AA805" t="b">
            <v>0</v>
          </cell>
        </row>
        <row r="806">
          <cell r="Z806" t="b">
            <v>0</v>
          </cell>
          <cell r="AA806" t="b">
            <v>0</v>
          </cell>
        </row>
        <row r="807">
          <cell r="Z807" t="b">
            <v>0</v>
          </cell>
          <cell r="AA807" t="b">
            <v>0</v>
          </cell>
        </row>
        <row r="808">
          <cell r="Z808" t="b">
            <v>0</v>
          </cell>
          <cell r="AA808" t="b">
            <v>0</v>
          </cell>
        </row>
        <row r="809">
          <cell r="Z809" t="b">
            <v>0</v>
          </cell>
          <cell r="AA809" t="b">
            <v>0</v>
          </cell>
        </row>
        <row r="810">
          <cell r="Z810" t="b">
            <v>0</v>
          </cell>
          <cell r="AA810" t="b">
            <v>0</v>
          </cell>
        </row>
        <row r="811">
          <cell r="Z811" t="b">
            <v>0</v>
          </cell>
          <cell r="AA811" t="b">
            <v>0</v>
          </cell>
        </row>
        <row r="812">
          <cell r="Z812" t="b">
            <v>0</v>
          </cell>
          <cell r="AA812" t="b">
            <v>0</v>
          </cell>
        </row>
        <row r="813">
          <cell r="Z813" t="b">
            <v>0</v>
          </cell>
          <cell r="AA813" t="b">
            <v>0</v>
          </cell>
        </row>
        <row r="814">
          <cell r="Z814" t="b">
            <v>0</v>
          </cell>
          <cell r="AA814" t="b">
            <v>0</v>
          </cell>
        </row>
        <row r="815">
          <cell r="Z815" t="b">
            <v>0</v>
          </cell>
          <cell r="AA815" t="b">
            <v>0</v>
          </cell>
        </row>
        <row r="816">
          <cell r="Z816" t="b">
            <v>0</v>
          </cell>
          <cell r="AA816" t="b">
            <v>0</v>
          </cell>
        </row>
        <row r="817">
          <cell r="Z817" t="b">
            <v>0</v>
          </cell>
          <cell r="AA817" t="b">
            <v>0</v>
          </cell>
        </row>
        <row r="818">
          <cell r="Z818" t="b">
            <v>0</v>
          </cell>
          <cell r="AA818" t="b">
            <v>0</v>
          </cell>
        </row>
        <row r="819">
          <cell r="Z819" t="b">
            <v>0</v>
          </cell>
          <cell r="AA819" t="b">
            <v>0</v>
          </cell>
        </row>
        <row r="820">
          <cell r="Z820" t="b">
            <v>0</v>
          </cell>
          <cell r="AA820" t="b">
            <v>0</v>
          </cell>
        </row>
        <row r="821">
          <cell r="Z821" t="b">
            <v>0</v>
          </cell>
          <cell r="AA821" t="b">
            <v>0</v>
          </cell>
        </row>
        <row r="822">
          <cell r="Z822" t="b">
            <v>0</v>
          </cell>
          <cell r="AA822" t="b">
            <v>0</v>
          </cell>
        </row>
        <row r="823">
          <cell r="Z823" t="b">
            <v>0</v>
          </cell>
          <cell r="AA823" t="b">
            <v>0</v>
          </cell>
        </row>
        <row r="824">
          <cell r="Z824" t="b">
            <v>0</v>
          </cell>
          <cell r="AA824" t="b">
            <v>0</v>
          </cell>
        </row>
        <row r="825">
          <cell r="Z825" t="b">
            <v>0</v>
          </cell>
          <cell r="AA825" t="b">
            <v>0</v>
          </cell>
        </row>
        <row r="826">
          <cell r="Z826" t="b">
            <v>0</v>
          </cell>
          <cell r="AA826" t="b">
            <v>0</v>
          </cell>
        </row>
        <row r="827">
          <cell r="Z827" t="b">
            <v>0</v>
          </cell>
          <cell r="AA827" t="b">
            <v>0</v>
          </cell>
        </row>
        <row r="828">
          <cell r="Z828" t="b">
            <v>0</v>
          </cell>
          <cell r="AA828" t="b">
            <v>0</v>
          </cell>
        </row>
        <row r="829">
          <cell r="Z829" t="b">
            <v>0</v>
          </cell>
          <cell r="AA829" t="b">
            <v>0</v>
          </cell>
        </row>
        <row r="830">
          <cell r="Z830" t="b">
            <v>0</v>
          </cell>
          <cell r="AA830" t="b">
            <v>0</v>
          </cell>
        </row>
        <row r="831">
          <cell r="Z831" t="b">
            <v>0</v>
          </cell>
          <cell r="AA831" t="b">
            <v>0</v>
          </cell>
        </row>
        <row r="832">
          <cell r="Z832" t="b">
            <v>0</v>
          </cell>
          <cell r="AA832" t="b">
            <v>0</v>
          </cell>
        </row>
        <row r="833">
          <cell r="Z833" t="b">
            <v>0</v>
          </cell>
          <cell r="AA833" t="b">
            <v>0</v>
          </cell>
        </row>
        <row r="834">
          <cell r="Z834" t="b">
            <v>0</v>
          </cell>
          <cell r="AA834" t="b">
            <v>0</v>
          </cell>
        </row>
        <row r="835">
          <cell r="Z835" t="b">
            <v>0</v>
          </cell>
          <cell r="AA835" t="b">
            <v>0</v>
          </cell>
        </row>
        <row r="836">
          <cell r="Z836" t="b">
            <v>0</v>
          </cell>
          <cell r="AA836" t="b">
            <v>0</v>
          </cell>
        </row>
        <row r="837">
          <cell r="Z837" t="b">
            <v>0</v>
          </cell>
          <cell r="AA837" t="b">
            <v>0</v>
          </cell>
        </row>
        <row r="838">
          <cell r="Z838" t="b">
            <v>0</v>
          </cell>
          <cell r="AA838" t="b">
            <v>0</v>
          </cell>
        </row>
        <row r="839">
          <cell r="Z839" t="b">
            <v>0</v>
          </cell>
          <cell r="AA839" t="b">
            <v>0</v>
          </cell>
        </row>
        <row r="840">
          <cell r="Z840" t="b">
            <v>0</v>
          </cell>
          <cell r="AA840" t="b">
            <v>0</v>
          </cell>
        </row>
        <row r="841">
          <cell r="Z841" t="b">
            <v>0</v>
          </cell>
          <cell r="AA841" t="b">
            <v>0</v>
          </cell>
        </row>
        <row r="842">
          <cell r="Z842" t="b">
            <v>0</v>
          </cell>
          <cell r="AA842" t="b">
            <v>0</v>
          </cell>
        </row>
        <row r="843">
          <cell r="Z843" t="b">
            <v>0</v>
          </cell>
          <cell r="AA843" t="b">
            <v>0</v>
          </cell>
        </row>
        <row r="844">
          <cell r="Z844" t="b">
            <v>0</v>
          </cell>
          <cell r="AA844" t="b">
            <v>0</v>
          </cell>
        </row>
        <row r="845">
          <cell r="Z845" t="b">
            <v>0</v>
          </cell>
          <cell r="AA845" t="b">
            <v>0</v>
          </cell>
        </row>
        <row r="846">
          <cell r="Z846" t="b">
            <v>0</v>
          </cell>
          <cell r="AA846" t="b">
            <v>0</v>
          </cell>
        </row>
        <row r="847">
          <cell r="Z847" t="b">
            <v>0</v>
          </cell>
          <cell r="AA847" t="b">
            <v>0</v>
          </cell>
        </row>
        <row r="848">
          <cell r="Z848" t="b">
            <v>0</v>
          </cell>
          <cell r="AA848" t="b">
            <v>0</v>
          </cell>
        </row>
        <row r="849">
          <cell r="Z849" t="b">
            <v>0</v>
          </cell>
          <cell r="AA849" t="b">
            <v>0</v>
          </cell>
        </row>
        <row r="850">
          <cell r="Z850" t="b">
            <v>0</v>
          </cell>
          <cell r="AA850" t="b">
            <v>0</v>
          </cell>
        </row>
        <row r="851">
          <cell r="Z851" t="b">
            <v>0</v>
          </cell>
          <cell r="AA851" t="b">
            <v>0</v>
          </cell>
        </row>
        <row r="852">
          <cell r="Z852" t="b">
            <v>0</v>
          </cell>
          <cell r="AA852" t="b">
            <v>0</v>
          </cell>
        </row>
        <row r="853">
          <cell r="Z853" t="b">
            <v>0</v>
          </cell>
          <cell r="AA853" t="b">
            <v>0</v>
          </cell>
        </row>
        <row r="854">
          <cell r="Z854" t="b">
            <v>0</v>
          </cell>
          <cell r="AA854" t="b">
            <v>0</v>
          </cell>
        </row>
        <row r="855">
          <cell r="Z855" t="b">
            <v>0</v>
          </cell>
          <cell r="AA855" t="b">
            <v>0</v>
          </cell>
        </row>
        <row r="856">
          <cell r="Z856" t="b">
            <v>0</v>
          </cell>
          <cell r="AA856" t="b">
            <v>0</v>
          </cell>
        </row>
        <row r="857">
          <cell r="Z857" t="b">
            <v>0</v>
          </cell>
          <cell r="AA857" t="b">
            <v>0</v>
          </cell>
        </row>
        <row r="858">
          <cell r="Z858" t="b">
            <v>0</v>
          </cell>
          <cell r="AA858" t="b">
            <v>0</v>
          </cell>
        </row>
        <row r="859">
          <cell r="Z859" t="b">
            <v>0</v>
          </cell>
          <cell r="AA859" t="b">
            <v>0</v>
          </cell>
        </row>
        <row r="860">
          <cell r="Z860" t="b">
            <v>0</v>
          </cell>
          <cell r="AA860" t="b">
            <v>0</v>
          </cell>
        </row>
        <row r="861">
          <cell r="Z861" t="b">
            <v>0</v>
          </cell>
          <cell r="AA861" t="b">
            <v>0</v>
          </cell>
        </row>
        <row r="862">
          <cell r="Z862" t="b">
            <v>0</v>
          </cell>
          <cell r="AA862" t="b">
            <v>0</v>
          </cell>
        </row>
        <row r="863">
          <cell r="Z863" t="b">
            <v>0</v>
          </cell>
          <cell r="AA863" t="b">
            <v>0</v>
          </cell>
        </row>
        <row r="864">
          <cell r="Z864" t="b">
            <v>0</v>
          </cell>
          <cell r="AA864" t="b">
            <v>0</v>
          </cell>
        </row>
        <row r="865">
          <cell r="Z865" t="b">
            <v>0</v>
          </cell>
          <cell r="AA865" t="b">
            <v>0</v>
          </cell>
        </row>
        <row r="866">
          <cell r="Z866" t="b">
            <v>0</v>
          </cell>
          <cell r="AA866" t="b">
            <v>0</v>
          </cell>
        </row>
        <row r="867">
          <cell r="Z867" t="b">
            <v>0</v>
          </cell>
          <cell r="AA867" t="b">
            <v>0</v>
          </cell>
        </row>
        <row r="868">
          <cell r="Z868" t="b">
            <v>0</v>
          </cell>
          <cell r="AA868" t="b">
            <v>0</v>
          </cell>
        </row>
        <row r="869">
          <cell r="Z869" t="b">
            <v>0</v>
          </cell>
          <cell r="AA869" t="b">
            <v>0</v>
          </cell>
        </row>
        <row r="870">
          <cell r="Z870" t="b">
            <v>0</v>
          </cell>
          <cell r="AA870" t="b">
            <v>0</v>
          </cell>
        </row>
        <row r="871">
          <cell r="Z871" t="b">
            <v>0</v>
          </cell>
          <cell r="AA871" t="b">
            <v>0</v>
          </cell>
        </row>
        <row r="872">
          <cell r="Z872" t="b">
            <v>0</v>
          </cell>
          <cell r="AA872" t="b">
            <v>0</v>
          </cell>
        </row>
        <row r="873">
          <cell r="Z873" t="b">
            <v>0</v>
          </cell>
          <cell r="AA873" t="b">
            <v>0</v>
          </cell>
        </row>
        <row r="874">
          <cell r="Z874" t="b">
            <v>0</v>
          </cell>
          <cell r="AA874" t="b">
            <v>0</v>
          </cell>
        </row>
        <row r="875">
          <cell r="Z875" t="b">
            <v>0</v>
          </cell>
          <cell r="AA875" t="b">
            <v>0</v>
          </cell>
        </row>
        <row r="876">
          <cell r="Z876" t="b">
            <v>0</v>
          </cell>
          <cell r="AA876" t="b">
            <v>0</v>
          </cell>
        </row>
        <row r="877">
          <cell r="Z877" t="b">
            <v>0</v>
          </cell>
          <cell r="AA877" t="b">
            <v>0</v>
          </cell>
        </row>
        <row r="878">
          <cell r="Z878" t="b">
            <v>0</v>
          </cell>
          <cell r="AA878" t="b">
            <v>0</v>
          </cell>
        </row>
        <row r="879">
          <cell r="Z879" t="b">
            <v>0</v>
          </cell>
          <cell r="AA879" t="b">
            <v>0</v>
          </cell>
        </row>
        <row r="880">
          <cell r="Z880" t="b">
            <v>0</v>
          </cell>
          <cell r="AA880" t="b">
            <v>0</v>
          </cell>
        </row>
        <row r="881">
          <cell r="Z881" t="b">
            <v>0</v>
          </cell>
          <cell r="AA881" t="b">
            <v>0</v>
          </cell>
        </row>
        <row r="882">
          <cell r="Z882" t="b">
            <v>0</v>
          </cell>
          <cell r="AA882" t="b">
            <v>0</v>
          </cell>
        </row>
        <row r="883">
          <cell r="Z883" t="b">
            <v>0</v>
          </cell>
          <cell r="AA883" t="b">
            <v>0</v>
          </cell>
        </row>
        <row r="884">
          <cell r="Z884" t="b">
            <v>0</v>
          </cell>
          <cell r="AA884" t="b">
            <v>0</v>
          </cell>
        </row>
        <row r="885">
          <cell r="Z885" t="b">
            <v>0</v>
          </cell>
          <cell r="AA885" t="b">
            <v>0</v>
          </cell>
        </row>
        <row r="886">
          <cell r="Z886" t="b">
            <v>0</v>
          </cell>
          <cell r="AA886" t="b">
            <v>0</v>
          </cell>
        </row>
        <row r="887">
          <cell r="Z887" t="b">
            <v>0</v>
          </cell>
          <cell r="AA887" t="b">
            <v>0</v>
          </cell>
        </row>
        <row r="888">
          <cell r="Z888" t="b">
            <v>0</v>
          </cell>
          <cell r="AA888" t="b">
            <v>0</v>
          </cell>
        </row>
        <row r="889">
          <cell r="Z889" t="b">
            <v>0</v>
          </cell>
          <cell r="AA889" t="b">
            <v>0</v>
          </cell>
        </row>
        <row r="890">
          <cell r="Z890" t="b">
            <v>0</v>
          </cell>
          <cell r="AA890" t="b">
            <v>0</v>
          </cell>
        </row>
        <row r="891">
          <cell r="Z891" t="b">
            <v>0</v>
          </cell>
          <cell r="AA891" t="b">
            <v>0</v>
          </cell>
        </row>
        <row r="892">
          <cell r="Z892" t="b">
            <v>0</v>
          </cell>
          <cell r="AA892" t="b">
            <v>0</v>
          </cell>
        </row>
        <row r="893">
          <cell r="Z893" t="b">
            <v>0</v>
          </cell>
          <cell r="AA893" t="b">
            <v>0</v>
          </cell>
        </row>
        <row r="894">
          <cell r="Z894" t="b">
            <v>0</v>
          </cell>
          <cell r="AA894" t="b">
            <v>0</v>
          </cell>
        </row>
        <row r="895">
          <cell r="Z895" t="b">
            <v>0</v>
          </cell>
          <cell r="AA895" t="b">
            <v>0</v>
          </cell>
        </row>
        <row r="896">
          <cell r="Z896" t="b">
            <v>0</v>
          </cell>
          <cell r="AA896" t="b">
            <v>0</v>
          </cell>
        </row>
        <row r="897">
          <cell r="Z897" t="b">
            <v>0</v>
          </cell>
          <cell r="AA897" t="b">
            <v>0</v>
          </cell>
        </row>
        <row r="898">
          <cell r="Z898" t="b">
            <v>0</v>
          </cell>
          <cell r="AA898" t="b">
            <v>0</v>
          </cell>
        </row>
        <row r="899">
          <cell r="Z899" t="b">
            <v>0</v>
          </cell>
          <cell r="AA899" t="b">
            <v>0</v>
          </cell>
        </row>
        <row r="900">
          <cell r="Z900" t="b">
            <v>0</v>
          </cell>
          <cell r="AA900" t="b">
            <v>0</v>
          </cell>
        </row>
        <row r="901">
          <cell r="Z901" t="b">
            <v>0</v>
          </cell>
          <cell r="AA901" t="b">
            <v>0</v>
          </cell>
        </row>
        <row r="902">
          <cell r="Z902" t="b">
            <v>0</v>
          </cell>
          <cell r="AA902" t="b">
            <v>0</v>
          </cell>
        </row>
        <row r="903">
          <cell r="Z903" t="b">
            <v>0</v>
          </cell>
          <cell r="AA903" t="b">
            <v>0</v>
          </cell>
        </row>
        <row r="904">
          <cell r="Z904" t="b">
            <v>0</v>
          </cell>
          <cell r="AA904" t="b">
            <v>0</v>
          </cell>
        </row>
        <row r="905">
          <cell r="Z905" t="b">
            <v>0</v>
          </cell>
          <cell r="AA905" t="b">
            <v>0</v>
          </cell>
        </row>
        <row r="906">
          <cell r="Z906" t="b">
            <v>0</v>
          </cell>
          <cell r="AA906" t="b">
            <v>0</v>
          </cell>
        </row>
        <row r="907">
          <cell r="Z907" t="b">
            <v>0</v>
          </cell>
          <cell r="AA907" t="b">
            <v>0</v>
          </cell>
        </row>
        <row r="908">
          <cell r="Z908" t="b">
            <v>0</v>
          </cell>
          <cell r="AA908" t="b">
            <v>0</v>
          </cell>
        </row>
        <row r="909">
          <cell r="Z909" t="b">
            <v>0</v>
          </cell>
          <cell r="AA909" t="b">
            <v>0</v>
          </cell>
        </row>
        <row r="910">
          <cell r="Z910" t="b">
            <v>0</v>
          </cell>
          <cell r="AA910" t="b">
            <v>0</v>
          </cell>
        </row>
        <row r="911">
          <cell r="Z911" t="b">
            <v>0</v>
          </cell>
          <cell r="AA911" t="b">
            <v>0</v>
          </cell>
        </row>
        <row r="912">
          <cell r="Z912" t="b">
            <v>0</v>
          </cell>
          <cell r="AA912" t="b">
            <v>0</v>
          </cell>
        </row>
        <row r="913">
          <cell r="Z913" t="b">
            <v>0</v>
          </cell>
          <cell r="AA913" t="b">
            <v>0</v>
          </cell>
        </row>
        <row r="914">
          <cell r="Z914" t="b">
            <v>0</v>
          </cell>
          <cell r="AA914" t="b">
            <v>0</v>
          </cell>
        </row>
        <row r="915">
          <cell r="Z915" t="b">
            <v>0</v>
          </cell>
          <cell r="AA915" t="b">
            <v>0</v>
          </cell>
        </row>
        <row r="916">
          <cell r="Z916" t="b">
            <v>0</v>
          </cell>
          <cell r="AA916" t="b">
            <v>0</v>
          </cell>
        </row>
        <row r="917">
          <cell r="Z917" t="b">
            <v>0</v>
          </cell>
          <cell r="AA917" t="b">
            <v>0</v>
          </cell>
        </row>
        <row r="918">
          <cell r="Z918" t="b">
            <v>0</v>
          </cell>
          <cell r="AA918" t="b">
            <v>0</v>
          </cell>
        </row>
        <row r="919">
          <cell r="Z919" t="b">
            <v>0</v>
          </cell>
          <cell r="AA919" t="b">
            <v>0</v>
          </cell>
        </row>
        <row r="920">
          <cell r="Z920" t="b">
            <v>0</v>
          </cell>
          <cell r="AA920" t="b">
            <v>0</v>
          </cell>
        </row>
        <row r="921">
          <cell r="Z921" t="b">
            <v>0</v>
          </cell>
          <cell r="AA921" t="b">
            <v>0</v>
          </cell>
        </row>
        <row r="922">
          <cell r="Z922" t="b">
            <v>0</v>
          </cell>
          <cell r="AA922" t="b">
            <v>0</v>
          </cell>
        </row>
        <row r="923">
          <cell r="Z923" t="b">
            <v>0</v>
          </cell>
          <cell r="AA923" t="b">
            <v>0</v>
          </cell>
        </row>
        <row r="924">
          <cell r="Z924" t="b">
            <v>0</v>
          </cell>
          <cell r="AA924" t="b">
            <v>0</v>
          </cell>
        </row>
        <row r="925">
          <cell r="Z925" t="b">
            <v>0</v>
          </cell>
          <cell r="AA925" t="b">
            <v>0</v>
          </cell>
        </row>
        <row r="926">
          <cell r="Z926" t="b">
            <v>0</v>
          </cell>
          <cell r="AA926" t="b">
            <v>0</v>
          </cell>
        </row>
        <row r="927">
          <cell r="Z927" t="b">
            <v>0</v>
          </cell>
          <cell r="AA927" t="b">
            <v>0</v>
          </cell>
        </row>
        <row r="928">
          <cell r="Z928" t="b">
            <v>0</v>
          </cell>
          <cell r="AA928" t="b">
            <v>0</v>
          </cell>
        </row>
        <row r="929">
          <cell r="Z929" t="b">
            <v>0</v>
          </cell>
          <cell r="AA929" t="b">
            <v>0</v>
          </cell>
        </row>
        <row r="930">
          <cell r="Z930" t="b">
            <v>0</v>
          </cell>
          <cell r="AA930" t="b">
            <v>0</v>
          </cell>
        </row>
        <row r="931">
          <cell r="Z931" t="b">
            <v>0</v>
          </cell>
          <cell r="AA931" t="b">
            <v>0</v>
          </cell>
        </row>
        <row r="932">
          <cell r="Z932" t="b">
            <v>0</v>
          </cell>
          <cell r="AA932" t="b">
            <v>0</v>
          </cell>
        </row>
        <row r="933">
          <cell r="Z933" t="b">
            <v>0</v>
          </cell>
          <cell r="AA933" t="b">
            <v>0</v>
          </cell>
        </row>
        <row r="934">
          <cell r="Z934" t="b">
            <v>0</v>
          </cell>
          <cell r="AA934" t="b">
            <v>0</v>
          </cell>
        </row>
        <row r="935">
          <cell r="Z935" t="b">
            <v>0</v>
          </cell>
          <cell r="AA935" t="b">
            <v>0</v>
          </cell>
        </row>
        <row r="936">
          <cell r="Z936" t="b">
            <v>0</v>
          </cell>
          <cell r="AA936" t="b">
            <v>0</v>
          </cell>
        </row>
        <row r="937">
          <cell r="Z937" t="b">
            <v>0</v>
          </cell>
          <cell r="AA937" t="b">
            <v>0</v>
          </cell>
        </row>
        <row r="938">
          <cell r="Z938" t="b">
            <v>0</v>
          </cell>
          <cell r="AA938" t="b">
            <v>0</v>
          </cell>
        </row>
        <row r="939">
          <cell r="Z939" t="b">
            <v>0</v>
          </cell>
          <cell r="AA939" t="b">
            <v>0</v>
          </cell>
        </row>
        <row r="940">
          <cell r="Z940" t="b">
            <v>0</v>
          </cell>
          <cell r="AA940" t="b">
            <v>0</v>
          </cell>
        </row>
        <row r="941">
          <cell r="Z941" t="b">
            <v>0</v>
          </cell>
          <cell r="AA941" t="b">
            <v>0</v>
          </cell>
        </row>
        <row r="942">
          <cell r="Z942" t="b">
            <v>0</v>
          </cell>
          <cell r="AA942" t="b">
            <v>0</v>
          </cell>
        </row>
        <row r="943">
          <cell r="Z943" t="b">
            <v>0</v>
          </cell>
          <cell r="AA943" t="b">
            <v>0</v>
          </cell>
        </row>
        <row r="944">
          <cell r="Z944" t="b">
            <v>0</v>
          </cell>
          <cell r="AA944" t="b">
            <v>0</v>
          </cell>
        </row>
        <row r="945">
          <cell r="Z945" t="b">
            <v>0</v>
          </cell>
          <cell r="AA945" t="b">
            <v>0</v>
          </cell>
        </row>
        <row r="946">
          <cell r="Z946" t="b">
            <v>0</v>
          </cell>
          <cell r="AA946" t="b">
            <v>0</v>
          </cell>
        </row>
        <row r="947">
          <cell r="Z947" t="b">
            <v>0</v>
          </cell>
          <cell r="AA947" t="b">
            <v>0</v>
          </cell>
        </row>
        <row r="948">
          <cell r="Z948" t="b">
            <v>0</v>
          </cell>
          <cell r="AA948" t="b">
            <v>0</v>
          </cell>
        </row>
        <row r="949">
          <cell r="Z949" t="b">
            <v>0</v>
          </cell>
          <cell r="AA949" t="b">
            <v>0</v>
          </cell>
        </row>
        <row r="950">
          <cell r="Z950" t="b">
            <v>0</v>
          </cell>
          <cell r="AA950" t="b">
            <v>0</v>
          </cell>
        </row>
        <row r="951">
          <cell r="Z951" t="b">
            <v>0</v>
          </cell>
          <cell r="AA951" t="b">
            <v>0</v>
          </cell>
        </row>
        <row r="952">
          <cell r="Z952" t="b">
            <v>0</v>
          </cell>
          <cell r="AA952" t="b">
            <v>0</v>
          </cell>
        </row>
        <row r="953">
          <cell r="Z953" t="b">
            <v>0</v>
          </cell>
          <cell r="AA953" t="b">
            <v>0</v>
          </cell>
        </row>
        <row r="954">
          <cell r="Z954" t="b">
            <v>0</v>
          </cell>
          <cell r="AA954" t="b">
            <v>0</v>
          </cell>
        </row>
        <row r="955">
          <cell r="Z955" t="b">
            <v>0</v>
          </cell>
          <cell r="AA955" t="b">
            <v>0</v>
          </cell>
        </row>
        <row r="956">
          <cell r="Z956" t="b">
            <v>0</v>
          </cell>
          <cell r="AA956" t="b">
            <v>0</v>
          </cell>
        </row>
        <row r="957">
          <cell r="Z957" t="b">
            <v>0</v>
          </cell>
          <cell r="AA957" t="b">
            <v>0</v>
          </cell>
        </row>
        <row r="958">
          <cell r="Z958" t="b">
            <v>0</v>
          </cell>
          <cell r="AA958" t="b">
            <v>0</v>
          </cell>
        </row>
        <row r="959">
          <cell r="Z959" t="b">
            <v>0</v>
          </cell>
          <cell r="AA959" t="b">
            <v>0</v>
          </cell>
        </row>
        <row r="960">
          <cell r="Z960" t="b">
            <v>0</v>
          </cell>
          <cell r="AA960" t="b">
            <v>0</v>
          </cell>
        </row>
        <row r="961">
          <cell r="Z961" t="b">
            <v>0</v>
          </cell>
          <cell r="AA961" t="b">
            <v>0</v>
          </cell>
        </row>
        <row r="962">
          <cell r="Z962" t="b">
            <v>0</v>
          </cell>
          <cell r="AA962" t="b">
            <v>0</v>
          </cell>
        </row>
        <row r="963">
          <cell r="Z963" t="b">
            <v>0</v>
          </cell>
          <cell r="AA963" t="b">
            <v>0</v>
          </cell>
        </row>
        <row r="964">
          <cell r="Z964" t="b">
            <v>0</v>
          </cell>
          <cell r="AA964" t="b">
            <v>0</v>
          </cell>
        </row>
        <row r="965">
          <cell r="Z965" t="b">
            <v>0</v>
          </cell>
          <cell r="AA965" t="b">
            <v>0</v>
          </cell>
        </row>
        <row r="966">
          <cell r="Z966" t="b">
            <v>0</v>
          </cell>
          <cell r="AA966" t="b">
            <v>0</v>
          </cell>
        </row>
        <row r="967">
          <cell r="Z967" t="b">
            <v>0</v>
          </cell>
          <cell r="AA967" t="b">
            <v>0</v>
          </cell>
        </row>
        <row r="968">
          <cell r="Z968" t="b">
            <v>0</v>
          </cell>
          <cell r="AA968" t="b">
            <v>0</v>
          </cell>
        </row>
        <row r="969">
          <cell r="Z969" t="b">
            <v>0</v>
          </cell>
          <cell r="AA969" t="b">
            <v>0</v>
          </cell>
        </row>
        <row r="970">
          <cell r="Z970" t="b">
            <v>0</v>
          </cell>
          <cell r="AA970" t="b">
            <v>0</v>
          </cell>
        </row>
        <row r="971">
          <cell r="Z971" t="b">
            <v>0</v>
          </cell>
          <cell r="AA971" t="b">
            <v>0</v>
          </cell>
        </row>
        <row r="972">
          <cell r="Z972" t="b">
            <v>0</v>
          </cell>
          <cell r="AA972" t="b">
            <v>0</v>
          </cell>
        </row>
        <row r="973">
          <cell r="Z973" t="b">
            <v>0</v>
          </cell>
          <cell r="AA973" t="b">
            <v>0</v>
          </cell>
        </row>
        <row r="974">
          <cell r="Z974" t="b">
            <v>0</v>
          </cell>
          <cell r="AA974" t="b">
            <v>0</v>
          </cell>
        </row>
        <row r="975">
          <cell r="Z975" t="b">
            <v>0</v>
          </cell>
          <cell r="AA975" t="b">
            <v>0</v>
          </cell>
        </row>
        <row r="976">
          <cell r="Z976" t="b">
            <v>0</v>
          </cell>
          <cell r="AA976" t="b">
            <v>0</v>
          </cell>
        </row>
        <row r="977">
          <cell r="Z977" t="b">
            <v>0</v>
          </cell>
          <cell r="AA977" t="b">
            <v>0</v>
          </cell>
        </row>
        <row r="978">
          <cell r="Z978" t="b">
            <v>0</v>
          </cell>
          <cell r="AA978" t="b">
            <v>0</v>
          </cell>
        </row>
        <row r="979">
          <cell r="Z979" t="b">
            <v>0</v>
          </cell>
          <cell r="AA979" t="b">
            <v>0</v>
          </cell>
        </row>
        <row r="980">
          <cell r="Z980" t="b">
            <v>0</v>
          </cell>
          <cell r="AA980" t="b">
            <v>0</v>
          </cell>
        </row>
        <row r="981">
          <cell r="Z981" t="b">
            <v>0</v>
          </cell>
          <cell r="AA981" t="b">
            <v>0</v>
          </cell>
        </row>
        <row r="982">
          <cell r="Z982" t="b">
            <v>0</v>
          </cell>
          <cell r="AA982" t="b">
            <v>0</v>
          </cell>
        </row>
        <row r="983">
          <cell r="Z983" t="b">
            <v>0</v>
          </cell>
          <cell r="AA983" t="b">
            <v>0</v>
          </cell>
        </row>
        <row r="984">
          <cell r="Z984" t="b">
            <v>0</v>
          </cell>
          <cell r="AA984" t="b">
            <v>0</v>
          </cell>
        </row>
        <row r="985">
          <cell r="Z985" t="b">
            <v>0</v>
          </cell>
          <cell r="AA985" t="b">
            <v>0</v>
          </cell>
        </row>
        <row r="986">
          <cell r="Z986" t="b">
            <v>0</v>
          </cell>
          <cell r="AA986" t="b">
            <v>0</v>
          </cell>
        </row>
        <row r="987">
          <cell r="Z987" t="b">
            <v>0</v>
          </cell>
          <cell r="AA987" t="b">
            <v>0</v>
          </cell>
        </row>
        <row r="988">
          <cell r="Z988" t="b">
            <v>0</v>
          </cell>
          <cell r="AA988" t="b">
            <v>0</v>
          </cell>
        </row>
        <row r="989">
          <cell r="Z989" t="b">
            <v>0</v>
          </cell>
          <cell r="AA989" t="b">
            <v>0</v>
          </cell>
        </row>
        <row r="990">
          <cell r="Z990" t="b">
            <v>0</v>
          </cell>
          <cell r="AA990" t="b">
            <v>0</v>
          </cell>
        </row>
        <row r="991">
          <cell r="Z991" t="b">
            <v>0</v>
          </cell>
          <cell r="AA991" t="b">
            <v>0</v>
          </cell>
        </row>
        <row r="992">
          <cell r="Z992" t="b">
            <v>0</v>
          </cell>
          <cell r="AA992" t="b">
            <v>0</v>
          </cell>
        </row>
        <row r="993">
          <cell r="Z993" t="b">
            <v>0</v>
          </cell>
          <cell r="AA993" t="b">
            <v>0</v>
          </cell>
        </row>
        <row r="994">
          <cell r="Z994" t="b">
            <v>0</v>
          </cell>
          <cell r="AA994" t="b">
            <v>0</v>
          </cell>
        </row>
        <row r="995">
          <cell r="Z995" t="b">
            <v>0</v>
          </cell>
          <cell r="AA995" t="b">
            <v>0</v>
          </cell>
        </row>
        <row r="996">
          <cell r="Z996" t="b">
            <v>0</v>
          </cell>
          <cell r="AA996" t="b">
            <v>0</v>
          </cell>
        </row>
        <row r="997">
          <cell r="Z997" t="b">
            <v>0</v>
          </cell>
          <cell r="AA997" t="b">
            <v>0</v>
          </cell>
        </row>
        <row r="998">
          <cell r="Z998" t="b">
            <v>0</v>
          </cell>
          <cell r="AA998" t="b">
            <v>0</v>
          </cell>
        </row>
        <row r="999">
          <cell r="Z999" t="b">
            <v>0</v>
          </cell>
          <cell r="AA999" t="b">
            <v>0</v>
          </cell>
        </row>
        <row r="1000">
          <cell r="Z1000" t="b">
            <v>0</v>
          </cell>
          <cell r="AA1000" t="b">
            <v>0</v>
          </cell>
        </row>
        <row r="1001">
          <cell r="Z1001" t="b">
            <v>0</v>
          </cell>
          <cell r="AA1001" t="b">
            <v>0</v>
          </cell>
        </row>
        <row r="1002">
          <cell r="Z1002" t="b">
            <v>0</v>
          </cell>
          <cell r="AA1002" t="b">
            <v>0</v>
          </cell>
        </row>
        <row r="1003">
          <cell r="Z1003" t="b">
            <v>0</v>
          </cell>
          <cell r="AA1003" t="b">
            <v>0</v>
          </cell>
        </row>
        <row r="1004">
          <cell r="Z1004" t="b">
            <v>0</v>
          </cell>
          <cell r="AA1004" t="b">
            <v>0</v>
          </cell>
        </row>
        <row r="1005">
          <cell r="Z1005" t="b">
            <v>0</v>
          </cell>
          <cell r="AA1005" t="b">
            <v>0</v>
          </cell>
        </row>
        <row r="1006">
          <cell r="Z1006" t="b">
            <v>0</v>
          </cell>
          <cell r="AA1006" t="b">
            <v>0</v>
          </cell>
        </row>
        <row r="1007">
          <cell r="Z1007" t="b">
            <v>0</v>
          </cell>
          <cell r="AA1007" t="b">
            <v>0</v>
          </cell>
        </row>
        <row r="1008">
          <cell r="Z1008" t="b">
            <v>0</v>
          </cell>
          <cell r="AA1008" t="b">
            <v>0</v>
          </cell>
        </row>
        <row r="1009">
          <cell r="Z1009" t="b">
            <v>0</v>
          </cell>
          <cell r="AA1009" t="b">
            <v>0</v>
          </cell>
        </row>
        <row r="1010">
          <cell r="Z1010" t="b">
            <v>0</v>
          </cell>
          <cell r="AA1010" t="b">
            <v>0</v>
          </cell>
        </row>
        <row r="1011">
          <cell r="Z1011" t="b">
            <v>0</v>
          </cell>
          <cell r="AA1011" t="b">
            <v>0</v>
          </cell>
        </row>
        <row r="1012">
          <cell r="Z1012" t="b">
            <v>0</v>
          </cell>
          <cell r="AA1012" t="b">
            <v>0</v>
          </cell>
        </row>
        <row r="1013">
          <cell r="Z1013" t="b">
            <v>0</v>
          </cell>
          <cell r="AA1013" t="b">
            <v>0</v>
          </cell>
        </row>
        <row r="1014">
          <cell r="Z1014" t="b">
            <v>0</v>
          </cell>
          <cell r="AA1014" t="b">
            <v>0</v>
          </cell>
        </row>
        <row r="1015">
          <cell r="Z1015" t="b">
            <v>0</v>
          </cell>
          <cell r="AA1015" t="b">
            <v>0</v>
          </cell>
        </row>
        <row r="1016">
          <cell r="Z1016" t="b">
            <v>0</v>
          </cell>
          <cell r="AA1016" t="b">
            <v>0</v>
          </cell>
        </row>
        <row r="1017">
          <cell r="Z1017" t="b">
            <v>0</v>
          </cell>
          <cell r="AA1017" t="b">
            <v>0</v>
          </cell>
        </row>
        <row r="1018">
          <cell r="Z1018" t="b">
            <v>0</v>
          </cell>
          <cell r="AA1018" t="b">
            <v>0</v>
          </cell>
        </row>
        <row r="1019">
          <cell r="Z1019" t="b">
            <v>0</v>
          </cell>
          <cell r="AA1019" t="b">
            <v>0</v>
          </cell>
        </row>
        <row r="1020">
          <cell r="Z1020" t="b">
            <v>0</v>
          </cell>
          <cell r="AA1020" t="b">
            <v>0</v>
          </cell>
        </row>
        <row r="1021">
          <cell r="Z1021" t="b">
            <v>0</v>
          </cell>
          <cell r="AA1021" t="b">
            <v>0</v>
          </cell>
        </row>
        <row r="1022">
          <cell r="Z1022" t="b">
            <v>0</v>
          </cell>
          <cell r="AA1022" t="b">
            <v>0</v>
          </cell>
        </row>
        <row r="1023">
          <cell r="Z1023" t="b">
            <v>0</v>
          </cell>
          <cell r="AA1023" t="b">
            <v>0</v>
          </cell>
        </row>
        <row r="1024">
          <cell r="Z1024" t="b">
            <v>0</v>
          </cell>
          <cell r="AA1024" t="b">
            <v>0</v>
          </cell>
        </row>
        <row r="1025">
          <cell r="Z1025" t="b">
            <v>0</v>
          </cell>
          <cell r="AA1025" t="b">
            <v>0</v>
          </cell>
        </row>
        <row r="1026">
          <cell r="Z1026" t="b">
            <v>0</v>
          </cell>
          <cell r="AA1026" t="b">
            <v>0</v>
          </cell>
        </row>
        <row r="1027">
          <cell r="Z1027" t="b">
            <v>0</v>
          </cell>
          <cell r="AA1027" t="b">
            <v>0</v>
          </cell>
        </row>
        <row r="1028">
          <cell r="Z1028" t="b">
            <v>0</v>
          </cell>
          <cell r="AA1028" t="b">
            <v>0</v>
          </cell>
        </row>
        <row r="1029">
          <cell r="Z1029" t="b">
            <v>0</v>
          </cell>
          <cell r="AA1029" t="b">
            <v>0</v>
          </cell>
        </row>
        <row r="1030">
          <cell r="Z1030" t="b">
            <v>0</v>
          </cell>
          <cell r="AA1030" t="b">
            <v>0</v>
          </cell>
        </row>
        <row r="1031">
          <cell r="Z1031" t="b">
            <v>0</v>
          </cell>
          <cell r="AA1031" t="b">
            <v>0</v>
          </cell>
        </row>
        <row r="1032">
          <cell r="Z1032" t="b">
            <v>0</v>
          </cell>
          <cell r="AA1032" t="b">
            <v>0</v>
          </cell>
        </row>
        <row r="1033">
          <cell r="Z1033" t="b">
            <v>0</v>
          </cell>
          <cell r="AA1033" t="b">
            <v>0</v>
          </cell>
        </row>
        <row r="1034">
          <cell r="Z1034" t="b">
            <v>0</v>
          </cell>
          <cell r="AA1034" t="b">
            <v>0</v>
          </cell>
        </row>
        <row r="1035">
          <cell r="Z1035" t="b">
            <v>0</v>
          </cell>
          <cell r="AA1035" t="b">
            <v>0</v>
          </cell>
        </row>
        <row r="1036">
          <cell r="Z1036" t="b">
            <v>0</v>
          </cell>
          <cell r="AA1036" t="b">
            <v>0</v>
          </cell>
        </row>
        <row r="1037">
          <cell r="Z1037" t="b">
            <v>0</v>
          </cell>
          <cell r="AA1037" t="b">
            <v>0</v>
          </cell>
        </row>
        <row r="1038">
          <cell r="Z1038" t="b">
            <v>0</v>
          </cell>
          <cell r="AA1038" t="b">
            <v>0</v>
          </cell>
        </row>
        <row r="1039">
          <cell r="Z1039" t="b">
            <v>0</v>
          </cell>
          <cell r="AA1039" t="b">
            <v>0</v>
          </cell>
        </row>
        <row r="1040">
          <cell r="Z1040" t="b">
            <v>0</v>
          </cell>
          <cell r="AA1040" t="b">
            <v>0</v>
          </cell>
        </row>
        <row r="1041">
          <cell r="Z1041" t="b">
            <v>0</v>
          </cell>
          <cell r="AA1041" t="b">
            <v>0</v>
          </cell>
        </row>
        <row r="1042">
          <cell r="Z1042" t="b">
            <v>0</v>
          </cell>
          <cell r="AA1042" t="b">
            <v>0</v>
          </cell>
        </row>
        <row r="1043">
          <cell r="Z1043" t="b">
            <v>0</v>
          </cell>
          <cell r="AA1043" t="b">
            <v>0</v>
          </cell>
        </row>
        <row r="1044">
          <cell r="Z1044" t="b">
            <v>0</v>
          </cell>
          <cell r="AA1044" t="b">
            <v>0</v>
          </cell>
        </row>
        <row r="1045">
          <cell r="Z1045" t="b">
            <v>0</v>
          </cell>
          <cell r="AA1045" t="b">
            <v>0</v>
          </cell>
        </row>
        <row r="1046">
          <cell r="Z1046" t="b">
            <v>0</v>
          </cell>
          <cell r="AA1046" t="b">
            <v>0</v>
          </cell>
        </row>
        <row r="1047">
          <cell r="Z1047" t="b">
            <v>0</v>
          </cell>
          <cell r="AA1047" t="b">
            <v>0</v>
          </cell>
        </row>
        <row r="1048">
          <cell r="Z1048" t="b">
            <v>0</v>
          </cell>
          <cell r="AA1048" t="b">
            <v>0</v>
          </cell>
        </row>
        <row r="1049">
          <cell r="Z1049" t="b">
            <v>0</v>
          </cell>
          <cell r="AA1049" t="b">
            <v>0</v>
          </cell>
        </row>
        <row r="1050">
          <cell r="Z1050" t="b">
            <v>0</v>
          </cell>
          <cell r="AA1050" t="b">
            <v>0</v>
          </cell>
        </row>
        <row r="1051">
          <cell r="Z1051" t="b">
            <v>0</v>
          </cell>
          <cell r="AA1051" t="b">
            <v>0</v>
          </cell>
        </row>
        <row r="1052">
          <cell r="Z1052" t="b">
            <v>0</v>
          </cell>
          <cell r="AA1052" t="b">
            <v>0</v>
          </cell>
        </row>
        <row r="1053">
          <cell r="Z1053" t="b">
            <v>0</v>
          </cell>
          <cell r="AA1053" t="b">
            <v>0</v>
          </cell>
        </row>
        <row r="1054">
          <cell r="Z1054" t="b">
            <v>0</v>
          </cell>
          <cell r="AA1054" t="b">
            <v>0</v>
          </cell>
        </row>
        <row r="1055">
          <cell r="Z1055" t="b">
            <v>0</v>
          </cell>
          <cell r="AA1055" t="b">
            <v>0</v>
          </cell>
        </row>
        <row r="1056">
          <cell r="Z1056" t="b">
            <v>0</v>
          </cell>
          <cell r="AA1056" t="b">
            <v>0</v>
          </cell>
        </row>
        <row r="1057">
          <cell r="Z1057" t="b">
            <v>0</v>
          </cell>
          <cell r="AA1057" t="b">
            <v>0</v>
          </cell>
        </row>
        <row r="1058">
          <cell r="Z1058" t="b">
            <v>0</v>
          </cell>
          <cell r="AA1058" t="b">
            <v>0</v>
          </cell>
        </row>
        <row r="1059">
          <cell r="Z1059" t="b">
            <v>0</v>
          </cell>
          <cell r="AA1059" t="b">
            <v>0</v>
          </cell>
        </row>
        <row r="1060">
          <cell r="Z1060" t="b">
            <v>0</v>
          </cell>
          <cell r="AA1060" t="b">
            <v>0</v>
          </cell>
        </row>
        <row r="1061">
          <cell r="Z1061" t="b">
            <v>0</v>
          </cell>
          <cell r="AA1061" t="b">
            <v>0</v>
          </cell>
        </row>
        <row r="1062">
          <cell r="Z1062" t="b">
            <v>0</v>
          </cell>
          <cell r="AA1062" t="b">
            <v>0</v>
          </cell>
        </row>
        <row r="1063">
          <cell r="Z1063" t="b">
            <v>0</v>
          </cell>
          <cell r="AA1063" t="b">
            <v>0</v>
          </cell>
        </row>
        <row r="1064">
          <cell r="Z1064" t="b">
            <v>0</v>
          </cell>
          <cell r="AA1064" t="b">
            <v>0</v>
          </cell>
        </row>
        <row r="1065">
          <cell r="Z1065" t="b">
            <v>0</v>
          </cell>
          <cell r="AA1065" t="b">
            <v>0</v>
          </cell>
        </row>
        <row r="1066">
          <cell r="Z1066" t="b">
            <v>0</v>
          </cell>
          <cell r="AA1066" t="b">
            <v>0</v>
          </cell>
        </row>
        <row r="1067">
          <cell r="Z1067" t="b">
            <v>0</v>
          </cell>
          <cell r="AA1067" t="b">
            <v>0</v>
          </cell>
        </row>
        <row r="1068">
          <cell r="Z1068" t="b">
            <v>0</v>
          </cell>
          <cell r="AA1068" t="b">
            <v>0</v>
          </cell>
        </row>
        <row r="1069">
          <cell r="Z1069" t="b">
            <v>0</v>
          </cell>
          <cell r="AA1069" t="b">
            <v>0</v>
          </cell>
        </row>
        <row r="1070">
          <cell r="Z1070" t="b">
            <v>0</v>
          </cell>
          <cell r="AA1070" t="b">
            <v>0</v>
          </cell>
        </row>
        <row r="1071">
          <cell r="Z1071" t="b">
            <v>0</v>
          </cell>
          <cell r="AA1071" t="b">
            <v>0</v>
          </cell>
        </row>
        <row r="1072">
          <cell r="Z1072" t="b">
            <v>0</v>
          </cell>
          <cell r="AA1072" t="b">
            <v>0</v>
          </cell>
        </row>
        <row r="1073">
          <cell r="Z1073" t="b">
            <v>0</v>
          </cell>
          <cell r="AA1073" t="b">
            <v>0</v>
          </cell>
        </row>
        <row r="1074">
          <cell r="Z1074" t="b">
            <v>0</v>
          </cell>
          <cell r="AA1074" t="b">
            <v>0</v>
          </cell>
        </row>
        <row r="1075">
          <cell r="Z1075" t="b">
            <v>0</v>
          </cell>
          <cell r="AA1075" t="b">
            <v>0</v>
          </cell>
        </row>
        <row r="1076">
          <cell r="Z1076" t="b">
            <v>0</v>
          </cell>
          <cell r="AA1076" t="b">
            <v>0</v>
          </cell>
        </row>
        <row r="1077">
          <cell r="Z1077" t="b">
            <v>0</v>
          </cell>
          <cell r="AA1077" t="b">
            <v>0</v>
          </cell>
        </row>
        <row r="1078">
          <cell r="Z1078" t="b">
            <v>0</v>
          </cell>
          <cell r="AA1078" t="b">
            <v>0</v>
          </cell>
        </row>
        <row r="1079">
          <cell r="Z1079" t="b">
            <v>0</v>
          </cell>
          <cell r="AA1079" t="b">
            <v>0</v>
          </cell>
        </row>
        <row r="1080">
          <cell r="Z1080" t="b">
            <v>0</v>
          </cell>
          <cell r="AA1080" t="b">
            <v>0</v>
          </cell>
        </row>
        <row r="1081">
          <cell r="Z1081" t="b">
            <v>0</v>
          </cell>
          <cell r="AA1081" t="b">
            <v>0</v>
          </cell>
        </row>
        <row r="1082">
          <cell r="Z1082" t="b">
            <v>0</v>
          </cell>
          <cell r="AA1082" t="b">
            <v>0</v>
          </cell>
        </row>
        <row r="1083">
          <cell r="Z1083" t="b">
            <v>0</v>
          </cell>
          <cell r="AA1083" t="b">
            <v>0</v>
          </cell>
        </row>
        <row r="1084">
          <cell r="Z1084" t="b">
            <v>0</v>
          </cell>
          <cell r="AA1084" t="b">
            <v>0</v>
          </cell>
        </row>
        <row r="1085">
          <cell r="Z1085" t="b">
            <v>0</v>
          </cell>
          <cell r="AA1085" t="b">
            <v>0</v>
          </cell>
        </row>
        <row r="1086">
          <cell r="Z1086" t="b">
            <v>0</v>
          </cell>
          <cell r="AA1086" t="b">
            <v>0</v>
          </cell>
        </row>
        <row r="1087">
          <cell r="Z1087" t="b">
            <v>0</v>
          </cell>
          <cell r="AA1087" t="b">
            <v>0</v>
          </cell>
        </row>
        <row r="1088">
          <cell r="Z1088" t="b">
            <v>0</v>
          </cell>
          <cell r="AA1088" t="b">
            <v>0</v>
          </cell>
        </row>
        <row r="1089">
          <cell r="Z1089" t="b">
            <v>0</v>
          </cell>
          <cell r="AA1089" t="b">
            <v>0</v>
          </cell>
        </row>
        <row r="1090">
          <cell r="Z1090" t="b">
            <v>0</v>
          </cell>
          <cell r="AA1090" t="b">
            <v>0</v>
          </cell>
        </row>
        <row r="1091">
          <cell r="Z1091" t="b">
            <v>0</v>
          </cell>
          <cell r="AA1091" t="b">
            <v>0</v>
          </cell>
        </row>
        <row r="1092">
          <cell r="Z1092" t="b">
            <v>0</v>
          </cell>
          <cell r="AA1092" t="b">
            <v>0</v>
          </cell>
        </row>
        <row r="1093">
          <cell r="Z1093" t="b">
            <v>0</v>
          </cell>
          <cell r="AA1093" t="b">
            <v>0</v>
          </cell>
        </row>
        <row r="1094">
          <cell r="Z1094" t="b">
            <v>0</v>
          </cell>
          <cell r="AA1094" t="b">
            <v>0</v>
          </cell>
        </row>
        <row r="1095">
          <cell r="Z1095" t="b">
            <v>0</v>
          </cell>
          <cell r="AA1095" t="b">
            <v>0</v>
          </cell>
        </row>
        <row r="1096">
          <cell r="Z1096" t="b">
            <v>0</v>
          </cell>
          <cell r="AA1096" t="b">
            <v>0</v>
          </cell>
        </row>
        <row r="1097">
          <cell r="Z1097" t="b">
            <v>0</v>
          </cell>
          <cell r="AA1097" t="b">
            <v>0</v>
          </cell>
        </row>
        <row r="1098">
          <cell r="Z1098" t="b">
            <v>0</v>
          </cell>
          <cell r="AA1098" t="b">
            <v>0</v>
          </cell>
        </row>
        <row r="1099">
          <cell r="Z1099" t="b">
            <v>0</v>
          </cell>
          <cell r="AA1099" t="b">
            <v>0</v>
          </cell>
        </row>
        <row r="1100">
          <cell r="Z1100" t="b">
            <v>0</v>
          </cell>
          <cell r="AA1100" t="b">
            <v>0</v>
          </cell>
        </row>
        <row r="1101">
          <cell r="Z1101" t="b">
            <v>0</v>
          </cell>
          <cell r="AA1101" t="b">
            <v>0</v>
          </cell>
        </row>
        <row r="1102">
          <cell r="Z1102" t="b">
            <v>0</v>
          </cell>
          <cell r="AA1102" t="b">
            <v>0</v>
          </cell>
        </row>
        <row r="1103">
          <cell r="Z1103" t="b">
            <v>0</v>
          </cell>
          <cell r="AA1103" t="b">
            <v>0</v>
          </cell>
        </row>
        <row r="1104">
          <cell r="Z1104" t="b">
            <v>0</v>
          </cell>
          <cell r="AA1104" t="b">
            <v>0</v>
          </cell>
        </row>
        <row r="1105">
          <cell r="Z1105" t="b">
            <v>0</v>
          </cell>
          <cell r="AA1105" t="b">
            <v>0</v>
          </cell>
        </row>
        <row r="1106">
          <cell r="Z1106" t="b">
            <v>0</v>
          </cell>
          <cell r="AA1106" t="b">
            <v>0</v>
          </cell>
        </row>
        <row r="1107">
          <cell r="Z1107" t="b">
            <v>0</v>
          </cell>
          <cell r="AA1107" t="b">
            <v>0</v>
          </cell>
        </row>
        <row r="1108">
          <cell r="Z1108" t="b">
            <v>0</v>
          </cell>
          <cell r="AA1108" t="b">
            <v>0</v>
          </cell>
        </row>
        <row r="1109">
          <cell r="Z1109" t="b">
            <v>0</v>
          </cell>
          <cell r="AA1109" t="b">
            <v>0</v>
          </cell>
        </row>
        <row r="1110">
          <cell r="Z1110" t="b">
            <v>0</v>
          </cell>
          <cell r="AA1110" t="b">
            <v>0</v>
          </cell>
        </row>
        <row r="1111">
          <cell r="Z1111" t="b">
            <v>0</v>
          </cell>
          <cell r="AA1111" t="b">
            <v>0</v>
          </cell>
        </row>
        <row r="1112">
          <cell r="Z1112" t="b">
            <v>0</v>
          </cell>
          <cell r="AA1112" t="b">
            <v>0</v>
          </cell>
        </row>
        <row r="1113">
          <cell r="Z1113" t="b">
            <v>0</v>
          </cell>
          <cell r="AA1113" t="b">
            <v>0</v>
          </cell>
        </row>
        <row r="1114">
          <cell r="Z1114" t="b">
            <v>0</v>
          </cell>
          <cell r="AA1114" t="b">
            <v>0</v>
          </cell>
        </row>
        <row r="1115">
          <cell r="Z1115" t="b">
            <v>0</v>
          </cell>
          <cell r="AA1115" t="b">
            <v>0</v>
          </cell>
        </row>
        <row r="1116">
          <cell r="Z1116" t="b">
            <v>0</v>
          </cell>
          <cell r="AA1116" t="b">
            <v>0</v>
          </cell>
        </row>
        <row r="1117">
          <cell r="Z1117" t="b">
            <v>0</v>
          </cell>
          <cell r="AA1117" t="b">
            <v>0</v>
          </cell>
        </row>
        <row r="1118">
          <cell r="Z1118" t="b">
            <v>0</v>
          </cell>
          <cell r="AA1118" t="b">
            <v>0</v>
          </cell>
        </row>
        <row r="1119">
          <cell r="Z1119" t="b">
            <v>0</v>
          </cell>
          <cell r="AA1119" t="b">
            <v>0</v>
          </cell>
        </row>
        <row r="1120">
          <cell r="Z1120" t="b">
            <v>0</v>
          </cell>
          <cell r="AA1120" t="b">
            <v>0</v>
          </cell>
        </row>
        <row r="1121">
          <cell r="Z1121" t="b">
            <v>0</v>
          </cell>
          <cell r="AA1121" t="b">
            <v>0</v>
          </cell>
        </row>
        <row r="1122">
          <cell r="Z1122" t="b">
            <v>0</v>
          </cell>
          <cell r="AA1122" t="b">
            <v>0</v>
          </cell>
        </row>
        <row r="1123">
          <cell r="Z1123" t="b">
            <v>0</v>
          </cell>
          <cell r="AA1123" t="b">
            <v>0</v>
          </cell>
        </row>
        <row r="1124">
          <cell r="Z1124" t="b">
            <v>0</v>
          </cell>
          <cell r="AA1124" t="b">
            <v>0</v>
          </cell>
        </row>
        <row r="1125">
          <cell r="Z1125" t="b">
            <v>0</v>
          </cell>
          <cell r="AA1125" t="b">
            <v>0</v>
          </cell>
        </row>
        <row r="1126">
          <cell r="Z1126" t="b">
            <v>0</v>
          </cell>
          <cell r="AA1126" t="b">
            <v>0</v>
          </cell>
        </row>
        <row r="1127">
          <cell r="Z1127" t="b">
            <v>0</v>
          </cell>
          <cell r="AA1127" t="b">
            <v>0</v>
          </cell>
        </row>
        <row r="1128">
          <cell r="Z1128" t="b">
            <v>0</v>
          </cell>
          <cell r="AA1128" t="b">
            <v>0</v>
          </cell>
        </row>
        <row r="1129">
          <cell r="Z1129" t="b">
            <v>0</v>
          </cell>
          <cell r="AA1129" t="b">
            <v>0</v>
          </cell>
        </row>
        <row r="1130">
          <cell r="Z1130" t="b">
            <v>0</v>
          </cell>
          <cell r="AA1130" t="b">
            <v>0</v>
          </cell>
        </row>
        <row r="1131">
          <cell r="Z1131" t="b">
            <v>0</v>
          </cell>
          <cell r="AA1131" t="b">
            <v>0</v>
          </cell>
        </row>
        <row r="1132">
          <cell r="Z1132" t="b">
            <v>0</v>
          </cell>
          <cell r="AA1132" t="b">
            <v>0</v>
          </cell>
        </row>
        <row r="1133">
          <cell r="Z1133" t="b">
            <v>0</v>
          </cell>
          <cell r="AA1133" t="b">
            <v>0</v>
          </cell>
        </row>
        <row r="1134">
          <cell r="Z1134" t="b">
            <v>0</v>
          </cell>
          <cell r="AA1134" t="b">
            <v>0</v>
          </cell>
        </row>
        <row r="1135">
          <cell r="Z1135" t="b">
            <v>0</v>
          </cell>
          <cell r="AA1135" t="b">
            <v>0</v>
          </cell>
        </row>
        <row r="1136">
          <cell r="Z1136" t="b">
            <v>0</v>
          </cell>
          <cell r="AA1136" t="b">
            <v>0</v>
          </cell>
        </row>
        <row r="1137">
          <cell r="Z1137" t="b">
            <v>0</v>
          </cell>
          <cell r="AA1137" t="b">
            <v>0</v>
          </cell>
        </row>
        <row r="1138">
          <cell r="Z1138" t="b">
            <v>0</v>
          </cell>
          <cell r="AA1138" t="b">
            <v>0</v>
          </cell>
        </row>
        <row r="1139">
          <cell r="Z1139" t="b">
            <v>0</v>
          </cell>
          <cell r="AA1139" t="b">
            <v>0</v>
          </cell>
        </row>
        <row r="1140">
          <cell r="Z1140" t="b">
            <v>0</v>
          </cell>
          <cell r="AA1140" t="b">
            <v>0</v>
          </cell>
        </row>
        <row r="1141">
          <cell r="Z1141" t="b">
            <v>0</v>
          </cell>
          <cell r="AA1141" t="b">
            <v>0</v>
          </cell>
        </row>
        <row r="1142">
          <cell r="Z1142" t="b">
            <v>0</v>
          </cell>
          <cell r="AA1142" t="b">
            <v>0</v>
          </cell>
        </row>
        <row r="1143">
          <cell r="Z1143" t="b">
            <v>0</v>
          </cell>
          <cell r="AA1143" t="b">
            <v>0</v>
          </cell>
        </row>
        <row r="1144">
          <cell r="Z1144" t="b">
            <v>0</v>
          </cell>
          <cell r="AA1144" t="b">
            <v>0</v>
          </cell>
        </row>
        <row r="1145">
          <cell r="Z1145" t="b">
            <v>0</v>
          </cell>
          <cell r="AA1145" t="b">
            <v>0</v>
          </cell>
        </row>
        <row r="1146">
          <cell r="Z1146" t="b">
            <v>0</v>
          </cell>
          <cell r="AA1146" t="b">
            <v>0</v>
          </cell>
        </row>
        <row r="1147">
          <cell r="Z1147" t="b">
            <v>0</v>
          </cell>
          <cell r="AA1147" t="b">
            <v>0</v>
          </cell>
        </row>
        <row r="1148">
          <cell r="Z1148" t="b">
            <v>0</v>
          </cell>
          <cell r="AA1148" t="b">
            <v>0</v>
          </cell>
        </row>
        <row r="1149">
          <cell r="Z1149" t="b">
            <v>0</v>
          </cell>
          <cell r="AA1149" t="b">
            <v>0</v>
          </cell>
        </row>
        <row r="1150">
          <cell r="Z1150" t="b">
            <v>0</v>
          </cell>
          <cell r="AA1150" t="b">
            <v>0</v>
          </cell>
        </row>
        <row r="1151">
          <cell r="Z1151" t="b">
            <v>0</v>
          </cell>
          <cell r="AA1151" t="b">
            <v>0</v>
          </cell>
        </row>
        <row r="1152">
          <cell r="Z1152" t="b">
            <v>0</v>
          </cell>
          <cell r="AA1152" t="b">
            <v>0</v>
          </cell>
        </row>
        <row r="1153">
          <cell r="Z1153" t="b">
            <v>0</v>
          </cell>
          <cell r="AA1153" t="b">
            <v>0</v>
          </cell>
        </row>
        <row r="1154">
          <cell r="Z1154" t="b">
            <v>0</v>
          </cell>
          <cell r="AA1154" t="b">
            <v>0</v>
          </cell>
        </row>
        <row r="1155">
          <cell r="Z1155" t="b">
            <v>0</v>
          </cell>
          <cell r="AA1155" t="b">
            <v>0</v>
          </cell>
        </row>
        <row r="1156">
          <cell r="Z1156" t="b">
            <v>0</v>
          </cell>
          <cell r="AA1156" t="b">
            <v>0</v>
          </cell>
        </row>
        <row r="1157">
          <cell r="Z1157" t="b">
            <v>0</v>
          </cell>
          <cell r="AA1157" t="b">
            <v>0</v>
          </cell>
        </row>
        <row r="1158">
          <cell r="Z1158" t="b">
            <v>0</v>
          </cell>
          <cell r="AA1158" t="b">
            <v>0</v>
          </cell>
        </row>
        <row r="1159">
          <cell r="Z1159" t="b">
            <v>0</v>
          </cell>
          <cell r="AA1159" t="b">
            <v>0</v>
          </cell>
        </row>
        <row r="1160">
          <cell r="Z1160" t="b">
            <v>0</v>
          </cell>
          <cell r="AA1160" t="b">
            <v>0</v>
          </cell>
        </row>
        <row r="1161">
          <cell r="Z1161" t="b">
            <v>0</v>
          </cell>
          <cell r="AA1161" t="b">
            <v>0</v>
          </cell>
        </row>
        <row r="1162">
          <cell r="Z1162" t="b">
            <v>0</v>
          </cell>
          <cell r="AA1162" t="b">
            <v>0</v>
          </cell>
        </row>
        <row r="1163">
          <cell r="Z1163" t="b">
            <v>0</v>
          </cell>
          <cell r="AA1163" t="b">
            <v>0</v>
          </cell>
        </row>
        <row r="1164">
          <cell r="Z1164" t="b">
            <v>0</v>
          </cell>
          <cell r="AA1164" t="b">
            <v>0</v>
          </cell>
        </row>
        <row r="1165">
          <cell r="Z1165" t="b">
            <v>0</v>
          </cell>
          <cell r="AA1165" t="b">
            <v>0</v>
          </cell>
        </row>
        <row r="1166">
          <cell r="Z1166" t="b">
            <v>0</v>
          </cell>
          <cell r="AA1166" t="b">
            <v>0</v>
          </cell>
        </row>
        <row r="1167">
          <cell r="Z1167" t="b">
            <v>0</v>
          </cell>
          <cell r="AA1167" t="b">
            <v>0</v>
          </cell>
        </row>
        <row r="1168">
          <cell r="Z1168" t="b">
            <v>0</v>
          </cell>
          <cell r="AA1168" t="b">
            <v>0</v>
          </cell>
        </row>
        <row r="1169">
          <cell r="Z1169" t="b">
            <v>0</v>
          </cell>
          <cell r="AA1169" t="b">
            <v>0</v>
          </cell>
        </row>
        <row r="1170">
          <cell r="Z1170" t="b">
            <v>0</v>
          </cell>
          <cell r="AA1170" t="b">
            <v>0</v>
          </cell>
        </row>
        <row r="1171">
          <cell r="Z1171" t="b">
            <v>0</v>
          </cell>
          <cell r="AA1171" t="b">
            <v>0</v>
          </cell>
        </row>
        <row r="1172">
          <cell r="Z1172" t="b">
            <v>0</v>
          </cell>
          <cell r="AA1172" t="b">
            <v>0</v>
          </cell>
        </row>
        <row r="1173">
          <cell r="Z1173" t="b">
            <v>0</v>
          </cell>
          <cell r="AA1173" t="b">
            <v>0</v>
          </cell>
        </row>
        <row r="1174">
          <cell r="Z1174" t="b">
            <v>0</v>
          </cell>
          <cell r="AA1174" t="b">
            <v>0</v>
          </cell>
        </row>
        <row r="1175">
          <cell r="Z1175" t="b">
            <v>0</v>
          </cell>
          <cell r="AA1175" t="b">
            <v>0</v>
          </cell>
        </row>
        <row r="1176">
          <cell r="Z1176" t="b">
            <v>0</v>
          </cell>
          <cell r="AA1176" t="b">
            <v>0</v>
          </cell>
        </row>
        <row r="1177">
          <cell r="Z1177" t="b">
            <v>0</v>
          </cell>
          <cell r="AA1177" t="b">
            <v>0</v>
          </cell>
        </row>
        <row r="1178">
          <cell r="Z1178" t="b">
            <v>0</v>
          </cell>
          <cell r="AA1178" t="b">
            <v>0</v>
          </cell>
        </row>
        <row r="1179">
          <cell r="Z1179" t="b">
            <v>0</v>
          </cell>
          <cell r="AA1179" t="b">
            <v>0</v>
          </cell>
        </row>
        <row r="1180">
          <cell r="Z1180" t="b">
            <v>0</v>
          </cell>
          <cell r="AA1180" t="b">
            <v>0</v>
          </cell>
        </row>
        <row r="1181">
          <cell r="Z1181" t="b">
            <v>0</v>
          </cell>
          <cell r="AA1181" t="b">
            <v>0</v>
          </cell>
        </row>
        <row r="1182">
          <cell r="Z1182" t="b">
            <v>0</v>
          </cell>
          <cell r="AA1182" t="b">
            <v>0</v>
          </cell>
        </row>
        <row r="1183">
          <cell r="Z1183" t="b">
            <v>0</v>
          </cell>
          <cell r="AA1183" t="b">
            <v>0</v>
          </cell>
        </row>
        <row r="1184">
          <cell r="Z1184" t="b">
            <v>0</v>
          </cell>
          <cell r="AA1184" t="b">
            <v>0</v>
          </cell>
        </row>
        <row r="1185">
          <cell r="Z1185" t="b">
            <v>0</v>
          </cell>
          <cell r="AA1185" t="b">
            <v>0</v>
          </cell>
        </row>
        <row r="1186">
          <cell r="Z1186" t="b">
            <v>0</v>
          </cell>
          <cell r="AA1186" t="b">
            <v>0</v>
          </cell>
        </row>
        <row r="1187">
          <cell r="Z1187" t="b">
            <v>0</v>
          </cell>
          <cell r="AA1187" t="b">
            <v>0</v>
          </cell>
        </row>
        <row r="1188">
          <cell r="Z1188" t="b">
            <v>0</v>
          </cell>
          <cell r="AA1188" t="b">
            <v>0</v>
          </cell>
        </row>
        <row r="1189">
          <cell r="Z1189" t="b">
            <v>0</v>
          </cell>
          <cell r="AA1189" t="b">
            <v>0</v>
          </cell>
        </row>
        <row r="1190">
          <cell r="Z1190" t="b">
            <v>0</v>
          </cell>
          <cell r="AA1190" t="b">
            <v>0</v>
          </cell>
        </row>
        <row r="1191">
          <cell r="Z1191" t="b">
            <v>0</v>
          </cell>
          <cell r="AA1191" t="b">
            <v>0</v>
          </cell>
        </row>
        <row r="1192">
          <cell r="Z1192" t="b">
            <v>0</v>
          </cell>
          <cell r="AA1192" t="b">
            <v>0</v>
          </cell>
        </row>
        <row r="1193">
          <cell r="Z1193" t="b">
            <v>0</v>
          </cell>
          <cell r="AA1193" t="b">
            <v>0</v>
          </cell>
        </row>
        <row r="1194">
          <cell r="Z1194" t="b">
            <v>0</v>
          </cell>
          <cell r="AA1194" t="b">
            <v>0</v>
          </cell>
        </row>
        <row r="1195">
          <cell r="Z1195" t="b">
            <v>0</v>
          </cell>
          <cell r="AA1195" t="b">
            <v>0</v>
          </cell>
        </row>
        <row r="1196">
          <cell r="Z1196" t="b">
            <v>0</v>
          </cell>
          <cell r="AA1196" t="b">
            <v>0</v>
          </cell>
        </row>
        <row r="1197">
          <cell r="Z1197" t="b">
            <v>0</v>
          </cell>
          <cell r="AA1197" t="b">
            <v>0</v>
          </cell>
        </row>
        <row r="1198">
          <cell r="Z1198" t="b">
            <v>0</v>
          </cell>
          <cell r="AA1198" t="b">
            <v>0</v>
          </cell>
        </row>
        <row r="1199">
          <cell r="Z1199" t="b">
            <v>0</v>
          </cell>
          <cell r="AA1199" t="b">
            <v>0</v>
          </cell>
        </row>
        <row r="1200">
          <cell r="Z1200" t="b">
            <v>0</v>
          </cell>
          <cell r="AA1200" t="b">
            <v>0</v>
          </cell>
        </row>
        <row r="1201">
          <cell r="Z1201" t="b">
            <v>0</v>
          </cell>
          <cell r="AA1201" t="b">
            <v>0</v>
          </cell>
        </row>
        <row r="1202">
          <cell r="Z1202" t="b">
            <v>0</v>
          </cell>
          <cell r="AA1202" t="b">
            <v>0</v>
          </cell>
        </row>
        <row r="1203">
          <cell r="Z1203" t="b">
            <v>0</v>
          </cell>
          <cell r="AA1203" t="b">
            <v>0</v>
          </cell>
        </row>
        <row r="1204">
          <cell r="Z1204" t="b">
            <v>0</v>
          </cell>
          <cell r="AA1204" t="b">
            <v>0</v>
          </cell>
        </row>
        <row r="1205">
          <cell r="Z1205" t="b">
            <v>0</v>
          </cell>
          <cell r="AA1205" t="b">
            <v>0</v>
          </cell>
        </row>
        <row r="1206">
          <cell r="Z1206" t="b">
            <v>0</v>
          </cell>
          <cell r="AA1206" t="b">
            <v>0</v>
          </cell>
        </row>
        <row r="1207">
          <cell r="Z1207" t="b">
            <v>0</v>
          </cell>
          <cell r="AA1207" t="b">
            <v>0</v>
          </cell>
        </row>
        <row r="1208">
          <cell r="Z1208" t="b">
            <v>0</v>
          </cell>
          <cell r="AA1208" t="b">
            <v>0</v>
          </cell>
        </row>
        <row r="1209">
          <cell r="Z1209" t="b">
            <v>0</v>
          </cell>
          <cell r="AA1209" t="b">
            <v>0</v>
          </cell>
        </row>
        <row r="1210">
          <cell r="Z1210" t="b">
            <v>0</v>
          </cell>
          <cell r="AA1210" t="b">
            <v>0</v>
          </cell>
        </row>
        <row r="1211">
          <cell r="Z1211" t="b">
            <v>0</v>
          </cell>
          <cell r="AA1211" t="b">
            <v>0</v>
          </cell>
        </row>
        <row r="1212">
          <cell r="Z1212" t="b">
            <v>0</v>
          </cell>
          <cell r="AA1212" t="b">
            <v>0</v>
          </cell>
        </row>
        <row r="1213">
          <cell r="Z1213" t="b">
            <v>0</v>
          </cell>
          <cell r="AA1213" t="b">
            <v>0</v>
          </cell>
        </row>
        <row r="1214">
          <cell r="Z1214" t="b">
            <v>0</v>
          </cell>
          <cell r="AA1214" t="b">
            <v>0</v>
          </cell>
        </row>
        <row r="1215">
          <cell r="Z1215" t="b">
            <v>0</v>
          </cell>
          <cell r="AA1215" t="b">
            <v>0</v>
          </cell>
        </row>
        <row r="1216">
          <cell r="Z1216" t="b">
            <v>0</v>
          </cell>
          <cell r="AA1216" t="b">
            <v>0</v>
          </cell>
        </row>
        <row r="1217">
          <cell r="Z1217" t="b">
            <v>0</v>
          </cell>
          <cell r="AA1217" t="b">
            <v>0</v>
          </cell>
        </row>
        <row r="1218">
          <cell r="Z1218" t="b">
            <v>0</v>
          </cell>
          <cell r="AA1218" t="b">
            <v>0</v>
          </cell>
        </row>
        <row r="1219">
          <cell r="Z1219" t="b">
            <v>0</v>
          </cell>
          <cell r="AA1219" t="b">
            <v>0</v>
          </cell>
        </row>
        <row r="1220">
          <cell r="Z1220" t="b">
            <v>0</v>
          </cell>
          <cell r="AA1220" t="b">
            <v>0</v>
          </cell>
        </row>
        <row r="1221">
          <cell r="Z1221" t="b">
            <v>0</v>
          </cell>
          <cell r="AA1221" t="b">
            <v>0</v>
          </cell>
        </row>
        <row r="1222">
          <cell r="Z1222" t="b">
            <v>0</v>
          </cell>
          <cell r="AA1222" t="b">
            <v>0</v>
          </cell>
        </row>
        <row r="1223">
          <cell r="Z1223" t="b">
            <v>0</v>
          </cell>
          <cell r="AA1223" t="b">
            <v>0</v>
          </cell>
        </row>
        <row r="1224">
          <cell r="Z1224" t="b">
            <v>0</v>
          </cell>
          <cell r="AA1224" t="b">
            <v>0</v>
          </cell>
        </row>
        <row r="1225">
          <cell r="Z1225" t="b">
            <v>0</v>
          </cell>
          <cell r="AA1225" t="b">
            <v>0</v>
          </cell>
        </row>
        <row r="1226">
          <cell r="Z1226" t="b">
            <v>0</v>
          </cell>
          <cell r="AA1226" t="b">
            <v>0</v>
          </cell>
        </row>
        <row r="1227">
          <cell r="Z1227" t="b">
            <v>0</v>
          </cell>
          <cell r="AA1227" t="b">
            <v>0</v>
          </cell>
        </row>
        <row r="1228">
          <cell r="Z1228" t="b">
            <v>0</v>
          </cell>
          <cell r="AA1228" t="b">
            <v>0</v>
          </cell>
        </row>
        <row r="1229">
          <cell r="Z1229" t="b">
            <v>0</v>
          </cell>
          <cell r="AA1229" t="b">
            <v>0</v>
          </cell>
        </row>
        <row r="1230">
          <cell r="Z1230" t="b">
            <v>0</v>
          </cell>
          <cell r="AA1230" t="b">
            <v>0</v>
          </cell>
        </row>
        <row r="1231">
          <cell r="Z1231" t="b">
            <v>0</v>
          </cell>
          <cell r="AA1231" t="b">
            <v>0</v>
          </cell>
        </row>
      </sheetData>
      <sheetData sheetId="3" refreshError="1">
        <row r="1">
          <cell r="A1" t="str">
            <v>EM Mix</v>
          </cell>
          <cell r="B1">
            <v>0.51</v>
          </cell>
        </row>
        <row r="2">
          <cell r="A2" t="str">
            <v>Establ Mix</v>
          </cell>
          <cell r="B2">
            <v>0.49</v>
          </cell>
        </row>
        <row r="6">
          <cell r="D6" t="str">
            <v>Emerging Markets</v>
          </cell>
        </row>
        <row r="7">
          <cell r="B7" t="str">
            <v>Developed Markets</v>
          </cell>
          <cell r="D7">
            <v>0.05</v>
          </cell>
          <cell r="E7">
            <v>7.4999999999999997E-2</v>
          </cell>
          <cell r="F7">
            <v>0.1</v>
          </cell>
          <cell r="G7">
            <v>0.125</v>
          </cell>
          <cell r="H7">
            <v>0.15</v>
          </cell>
          <cell r="I7">
            <v>0.2</v>
          </cell>
        </row>
        <row r="8">
          <cell r="C8">
            <v>-0.05</v>
          </cell>
          <cell r="D8">
            <v>1.0000000000000009E-3</v>
          </cell>
          <cell r="E8">
            <v>1.3749999999999998E-2</v>
          </cell>
          <cell r="F8">
            <v>2.6500000000000003E-2</v>
          </cell>
          <cell r="G8">
            <v>3.925E-2</v>
          </cell>
          <cell r="H8">
            <v>5.1999999999999998E-2</v>
          </cell>
          <cell r="I8">
            <v>7.7500000000000013E-2</v>
          </cell>
        </row>
        <row r="9">
          <cell r="C9">
            <v>-2.5000000000000001E-2</v>
          </cell>
          <cell r="D9">
            <v>1.3250000000000001E-2</v>
          </cell>
          <cell r="E9">
            <v>2.5999999999999999E-2</v>
          </cell>
          <cell r="F9">
            <v>3.8750000000000007E-2</v>
          </cell>
          <cell r="G9">
            <v>5.1500000000000004E-2</v>
          </cell>
          <cell r="H9">
            <v>6.4250000000000002E-2</v>
          </cell>
          <cell r="I9">
            <v>8.975000000000001E-2</v>
          </cell>
        </row>
        <row r="10">
          <cell r="C10">
            <v>0</v>
          </cell>
          <cell r="D10">
            <v>2.5500000000000002E-2</v>
          </cell>
          <cell r="E10">
            <v>3.8249999999999999E-2</v>
          </cell>
          <cell r="F10">
            <v>5.1000000000000004E-2</v>
          </cell>
          <cell r="G10">
            <v>6.3750000000000001E-2</v>
          </cell>
          <cell r="H10">
            <v>7.6499999999999999E-2</v>
          </cell>
          <cell r="I10">
            <v>0.10200000000000001</v>
          </cell>
        </row>
        <row r="11">
          <cell r="C11">
            <v>2.5000000000000001E-2</v>
          </cell>
          <cell r="D11">
            <v>3.7750000000000006E-2</v>
          </cell>
          <cell r="E11">
            <v>5.0500000000000003E-2</v>
          </cell>
          <cell r="F11">
            <v>6.3250000000000001E-2</v>
          </cell>
          <cell r="G11">
            <v>7.5999999999999998E-2</v>
          </cell>
          <cell r="H11">
            <v>8.8749999999999996E-2</v>
          </cell>
          <cell r="I11">
            <v>0.11425</v>
          </cell>
        </row>
        <row r="12">
          <cell r="C12">
            <v>0.05</v>
          </cell>
          <cell r="D12">
            <v>0.05</v>
          </cell>
          <cell r="E12">
            <v>6.275E-2</v>
          </cell>
          <cell r="F12">
            <v>7.5500000000000012E-2</v>
          </cell>
          <cell r="G12">
            <v>8.8249999999999995E-2</v>
          </cell>
          <cell r="H12">
            <v>0.10100000000000001</v>
          </cell>
          <cell r="I12">
            <v>0.1265</v>
          </cell>
        </row>
      </sheetData>
      <sheetData sheetId="4"/>
      <sheetData sheetId="5" refreshError="1">
        <row r="1">
          <cell r="N1" t="str">
            <v>SmartCharts</v>
          </cell>
          <cell r="AW1" t="str">
            <v>.</v>
          </cell>
        </row>
        <row r="2">
          <cell r="AW2" t="str">
            <v>.</v>
          </cell>
        </row>
        <row r="3">
          <cell r="AW3" t="str">
            <v>.</v>
          </cell>
        </row>
        <row r="4">
          <cell r="AW4" t="str">
            <v>.</v>
          </cell>
        </row>
        <row r="5">
          <cell r="C5" t="str">
            <v>Define value axis here:</v>
          </cell>
        </row>
        <row r="6">
          <cell r="C6" t="str">
            <v>SLDS Category Sales Mix - 2005</v>
          </cell>
        </row>
        <row r="10">
          <cell r="C10" t="str">
            <v>Input your data here:</v>
          </cell>
          <cell r="AW10" t="str">
            <v>.</v>
          </cell>
        </row>
        <row r="11">
          <cell r="C11" t="str">
            <v>Skin Care</v>
          </cell>
          <cell r="D11">
            <v>0.28999999999999998</v>
          </cell>
          <cell r="AW11" t="str">
            <v>.</v>
          </cell>
        </row>
        <row r="12">
          <cell r="C12" t="str">
            <v>Fragrance</v>
          </cell>
          <cell r="D12">
            <v>0.28000000000000003</v>
          </cell>
          <cell r="AW12" t="str">
            <v>.</v>
          </cell>
        </row>
        <row r="13">
          <cell r="C13" t="str">
            <v>Color Cosmetics</v>
          </cell>
          <cell r="D13">
            <v>0.18</v>
          </cell>
          <cell r="AW13" t="str">
            <v>.</v>
          </cell>
        </row>
        <row r="14">
          <cell r="C14" t="str">
            <v>Toiletries</v>
          </cell>
          <cell r="D14">
            <v>0.12</v>
          </cell>
          <cell r="AW14" t="str">
            <v>.</v>
          </cell>
        </row>
        <row r="15">
          <cell r="C15" t="str">
            <v>Nutritionals</v>
          </cell>
          <cell r="D15">
            <v>0.09</v>
          </cell>
          <cell r="AW15" t="str">
            <v>.</v>
          </cell>
        </row>
        <row r="16">
          <cell r="C16" t="str">
            <v>Apparel</v>
          </cell>
          <cell r="D16">
            <v>0.04</v>
          </cell>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6" refreshError="1">
        <row r="1">
          <cell r="N1" t="str">
            <v>SmartCharts</v>
          </cell>
          <cell r="AW1" t="str">
            <v>.</v>
          </cell>
        </row>
        <row r="2">
          <cell r="AW2" t="str">
            <v>.</v>
          </cell>
        </row>
        <row r="3">
          <cell r="AW3" t="str">
            <v>.</v>
          </cell>
        </row>
        <row r="4">
          <cell r="AW4" t="str">
            <v>.</v>
          </cell>
        </row>
        <row r="5">
          <cell r="C5" t="str">
            <v>Define value axis here:</v>
          </cell>
        </row>
        <row r="6">
          <cell r="C6" t="str">
            <v>SLDS Geographic Sales Mix - 2005</v>
          </cell>
        </row>
        <row r="10">
          <cell r="C10" t="str">
            <v>Input your data here:</v>
          </cell>
          <cell r="AW10" t="str">
            <v>.</v>
          </cell>
        </row>
        <row r="11">
          <cell r="C11" t="str">
            <v>Latin America</v>
          </cell>
          <cell r="D11">
            <v>0.56999999999999995</v>
          </cell>
          <cell r="AW11" t="str">
            <v>.</v>
          </cell>
        </row>
        <row r="12">
          <cell r="C12" t="str">
            <v>Asia Pacific</v>
          </cell>
          <cell r="D12">
            <v>0.3</v>
          </cell>
          <cell r="AW12" t="str">
            <v>.</v>
          </cell>
        </row>
        <row r="13">
          <cell r="C13" t="str">
            <v>Africa</v>
          </cell>
          <cell r="D13">
            <v>0.08</v>
          </cell>
          <cell r="AW13" t="str">
            <v>.</v>
          </cell>
        </row>
        <row r="14">
          <cell r="C14" t="str">
            <v>Europe</v>
          </cell>
          <cell r="D14">
            <v>0.05</v>
          </cell>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7" refreshError="1">
        <row r="1">
          <cell r="N1" t="str">
            <v>SmartCharts</v>
          </cell>
          <cell r="AW1" t="str">
            <v>.</v>
          </cell>
        </row>
        <row r="2">
          <cell r="AW2" t="str">
            <v>.</v>
          </cell>
        </row>
        <row r="3">
          <cell r="AW3" t="str">
            <v>.</v>
          </cell>
        </row>
        <row r="4">
          <cell r="AW4" t="str">
            <v>.</v>
          </cell>
        </row>
        <row r="9">
          <cell r="C9" t="str">
            <v xml:space="preserve">Note: From Published TUP Report </v>
          </cell>
        </row>
        <row r="10">
          <cell r="C10" t="str">
            <v>Input your data here:</v>
          </cell>
          <cell r="AW10" t="str">
            <v>.</v>
          </cell>
        </row>
        <row r="11">
          <cell r="C11" t="str">
            <v>Skin Care</v>
          </cell>
          <cell r="D11">
            <v>0.28999999999999998</v>
          </cell>
          <cell r="AW11" t="str">
            <v>.</v>
          </cell>
        </row>
        <row r="12">
          <cell r="C12" t="str">
            <v>Fragrance</v>
          </cell>
          <cell r="D12">
            <v>0.28000000000000003</v>
          </cell>
          <cell r="AW12" t="str">
            <v>.</v>
          </cell>
        </row>
        <row r="13">
          <cell r="C13" t="str">
            <v>Color Cosmetics</v>
          </cell>
          <cell r="D13">
            <v>0.18</v>
          </cell>
          <cell r="AW13" t="str">
            <v>.</v>
          </cell>
        </row>
        <row r="14">
          <cell r="C14" t="str">
            <v>Toiletries</v>
          </cell>
          <cell r="D14">
            <v>0.12</v>
          </cell>
          <cell r="AW14" t="str">
            <v>.</v>
          </cell>
        </row>
        <row r="15">
          <cell r="C15" t="str">
            <v>Nutritionals</v>
          </cell>
          <cell r="D15">
            <v>0.09</v>
          </cell>
          <cell r="AW15" t="str">
            <v>.</v>
          </cell>
        </row>
        <row r="16">
          <cell r="C16" t="str">
            <v>Apparel</v>
          </cell>
          <cell r="D16">
            <v>0.04</v>
          </cell>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8" refreshError="1">
        <row r="1">
          <cell r="N1" t="str">
            <v>SmartCharts</v>
          </cell>
          <cell r="AW1" t="str">
            <v>.</v>
          </cell>
        </row>
        <row r="2">
          <cell r="AW2" t="str">
            <v>.</v>
          </cell>
        </row>
        <row r="3">
          <cell r="AW3" t="str">
            <v>.</v>
          </cell>
        </row>
        <row r="4">
          <cell r="AW4" t="str">
            <v>.</v>
          </cell>
        </row>
        <row r="9">
          <cell r="C9" t="str">
            <v xml:space="preserve">Note: From Published TUP Report </v>
          </cell>
        </row>
        <row r="10">
          <cell r="C10" t="str">
            <v>Input your data here:</v>
          </cell>
          <cell r="AW10" t="str">
            <v>.</v>
          </cell>
        </row>
        <row r="11">
          <cell r="C11" t="str">
            <v>Latin America</v>
          </cell>
          <cell r="D11">
            <v>0.56999999999999995</v>
          </cell>
          <cell r="AW11" t="str">
            <v>.</v>
          </cell>
        </row>
        <row r="12">
          <cell r="C12" t="str">
            <v>Asia Pacific</v>
          </cell>
          <cell r="D12">
            <v>0.3</v>
          </cell>
          <cell r="AW12" t="str">
            <v>.</v>
          </cell>
        </row>
        <row r="13">
          <cell r="C13" t="str">
            <v>Europe</v>
          </cell>
          <cell r="D13">
            <v>0.05</v>
          </cell>
          <cell r="AW13" t="str">
            <v>.</v>
          </cell>
        </row>
        <row r="14">
          <cell r="C14" t="str">
            <v>Africa</v>
          </cell>
          <cell r="D14">
            <v>0.08</v>
          </cell>
          <cell r="AW14" t="str">
            <v>.</v>
          </cell>
        </row>
        <row r="15">
          <cell r="AW15" t="str">
            <v>.</v>
          </cell>
        </row>
        <row r="16">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9"/>
      <sheetData sheetId="10" refreshError="1">
        <row r="1">
          <cell r="N1" t="str">
            <v>SmartCharts</v>
          </cell>
          <cell r="AW1" t="str">
            <v>.</v>
          </cell>
        </row>
        <row r="2">
          <cell r="AW2" t="str">
            <v>.</v>
          </cell>
        </row>
        <row r="3">
          <cell r="AW3" t="str">
            <v>.</v>
          </cell>
        </row>
        <row r="4">
          <cell r="AW4" t="str">
            <v>.</v>
          </cell>
        </row>
        <row r="10">
          <cell r="C10" t="str">
            <v>Input your data here:</v>
          </cell>
          <cell r="AW10" t="str">
            <v>.</v>
          </cell>
        </row>
        <row r="11">
          <cell r="C11" t="str">
            <v>Europe</v>
          </cell>
          <cell r="D11">
            <v>0.36926548007019305</v>
          </cell>
          <cell r="AW11" t="str">
            <v>.</v>
          </cell>
        </row>
        <row r="12">
          <cell r="C12" t="str">
            <v>Asia Pacific</v>
          </cell>
          <cell r="D12">
            <v>0.28352970669340688</v>
          </cell>
          <cell r="AW12" t="str">
            <v>.</v>
          </cell>
        </row>
        <row r="13">
          <cell r="C13" t="str">
            <v>North America</v>
          </cell>
          <cell r="D13">
            <v>0.13261469039859616</v>
          </cell>
          <cell r="AW13" t="str">
            <v>.</v>
          </cell>
        </row>
        <row r="14">
          <cell r="C14" t="str">
            <v>Beauty NA</v>
          </cell>
          <cell r="D14">
            <v>0.15166708448232641</v>
          </cell>
          <cell r="AW14" t="str">
            <v>.</v>
          </cell>
        </row>
        <row r="15">
          <cell r="C15" t="str">
            <v>Beauty Other</v>
          </cell>
          <cell r="D15">
            <v>6.2923038355477565E-2</v>
          </cell>
          <cell r="AW15" t="str">
            <v>.</v>
          </cell>
        </row>
        <row r="16">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1"/>
      <sheetData sheetId="12" refreshError="1">
        <row r="1">
          <cell r="N1" t="str">
            <v>SmartCharts</v>
          </cell>
          <cell r="AW1" t="str">
            <v>.</v>
          </cell>
        </row>
        <row r="2">
          <cell r="AW2" t="str">
            <v>.</v>
          </cell>
        </row>
        <row r="3">
          <cell r="AW3" t="str">
            <v>.</v>
          </cell>
        </row>
        <row r="4">
          <cell r="AW4" t="str">
            <v>.</v>
          </cell>
        </row>
        <row r="5">
          <cell r="C5" t="str">
            <v>Define value axis here:</v>
          </cell>
        </row>
        <row r="6">
          <cell r="C6" t="str">
            <v>Tupperware Segment Revenue Mix - 2009E</v>
          </cell>
        </row>
        <row r="10">
          <cell r="C10" t="str">
            <v>Input your data here:</v>
          </cell>
          <cell r="AW10" t="str">
            <v>.</v>
          </cell>
        </row>
        <row r="11">
          <cell r="C11" t="str">
            <v>Europe</v>
          </cell>
          <cell r="D11">
            <v>0.34602677795166059</v>
          </cell>
          <cell r="AW11" t="str">
            <v>.</v>
          </cell>
        </row>
        <row r="12">
          <cell r="C12" t="str">
            <v>Beauty NA</v>
          </cell>
          <cell r="D12">
            <v>0.17653451573639367</v>
          </cell>
          <cell r="AW12" t="str">
            <v>.</v>
          </cell>
        </row>
        <row r="13">
          <cell r="C13" t="str">
            <v>Asia Pacific</v>
          </cell>
          <cell r="D13">
            <v>0.25386889236654492</v>
          </cell>
          <cell r="AW13" t="str">
            <v>.</v>
          </cell>
        </row>
        <row r="14">
          <cell r="C14" t="str">
            <v>Beauty Other</v>
          </cell>
          <cell r="D14">
            <v>7.9464440966788383E-2</v>
          </cell>
          <cell r="AW14" t="str">
            <v>.</v>
          </cell>
        </row>
        <row r="15">
          <cell r="C15" t="str">
            <v>North America</v>
          </cell>
          <cell r="D15">
            <v>0.14410537297861242</v>
          </cell>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3" refreshError="1">
        <row r="1">
          <cell r="N1" t="str">
            <v>SmartCharts</v>
          </cell>
          <cell r="AW1" t="str">
            <v>.</v>
          </cell>
        </row>
        <row r="2">
          <cell r="AW2" t="str">
            <v>.</v>
          </cell>
        </row>
        <row r="3">
          <cell r="AW3" t="str">
            <v>.</v>
          </cell>
        </row>
        <row r="4">
          <cell r="AW4" t="str">
            <v>.</v>
          </cell>
        </row>
        <row r="5">
          <cell r="C5" t="str">
            <v>Define value axis here:</v>
          </cell>
        </row>
        <row r="6">
          <cell r="C6" t="str">
            <v>Five Year Topline Organic Growth Forecasts</v>
          </cell>
        </row>
        <row r="10">
          <cell r="C10" t="str">
            <v>Input your data here:</v>
          </cell>
          <cell r="AW10" t="str">
            <v>.</v>
          </cell>
        </row>
        <row r="11">
          <cell r="C11" t="str">
            <v>TUP</v>
          </cell>
          <cell r="D11">
            <v>5.3260554357989855E-2</v>
          </cell>
          <cell r="AW11" t="str">
            <v>.</v>
          </cell>
        </row>
        <row r="12">
          <cell r="C12" t="str">
            <v>CHD</v>
          </cell>
          <cell r="D12">
            <v>3.3168141718374178E-2</v>
          </cell>
          <cell r="AW12" t="str">
            <v>.</v>
          </cell>
        </row>
        <row r="13">
          <cell r="C13" t="str">
            <v>NWL</v>
          </cell>
          <cell r="D13">
            <v>2.4858711795409983E-2</v>
          </cell>
          <cell r="AW13" t="str">
            <v>.</v>
          </cell>
        </row>
        <row r="14">
          <cell r="C14" t="str">
            <v>ENR</v>
          </cell>
          <cell r="D14">
            <v>2.1576065935294285E-2</v>
          </cell>
          <cell r="AW14" t="str">
            <v>.</v>
          </cell>
        </row>
        <row r="15">
          <cell r="C15" t="str">
            <v xml:space="preserve">  Avg.*</v>
          </cell>
          <cell r="D15">
            <v>2.6534306483026144E-2</v>
          </cell>
          <cell r="AW15" t="str">
            <v>.</v>
          </cell>
        </row>
        <row r="16">
          <cell r="C16" t="str">
            <v>ENR</v>
          </cell>
          <cell r="D16">
            <v>2.5044486245679565E-2</v>
          </cell>
          <cell r="AW16" t="str">
            <v>.</v>
          </cell>
        </row>
        <row r="17">
          <cell r="C17" t="str">
            <v xml:space="preserve">  Avg.*</v>
          </cell>
          <cell r="D17">
            <v>3.2067351765294794E-2</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F41" t="str">
            <v>Do not change the width of the exhibit or font sizes (they are optimized for export to Word).</v>
          </cell>
          <cell r="AW41" t="str">
            <v>.</v>
          </cell>
        </row>
        <row r="42">
          <cell r="F42" t="str">
            <v>Do not change the width of the exhibit or font sizes (they are optimized for export to Word).</v>
          </cell>
          <cell r="AW42" t="str">
            <v>.</v>
          </cell>
        </row>
        <row r="43">
          <cell r="F43" t="str">
            <v>Do not delete any rows or columns (some gray cells are used for calculations).</v>
          </cell>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994" t="str">
            <v>.</v>
          </cell>
          <cell r="B994" t="str">
            <v>.</v>
          </cell>
          <cell r="C994" t="str">
            <v>.</v>
          </cell>
          <cell r="D994" t="str">
            <v>.</v>
          </cell>
          <cell r="E994" t="str">
            <v>.</v>
          </cell>
          <cell r="O994" t="str">
            <v>.</v>
          </cell>
          <cell r="P994" t="str">
            <v>.</v>
          </cell>
          <cell r="Q994" t="str">
            <v>.</v>
          </cell>
          <cell r="R994" t="str">
            <v>.</v>
          </cell>
          <cell r="S994" t="str">
            <v>.</v>
          </cell>
          <cell r="T994" t="str">
            <v>.</v>
          </cell>
          <cell r="U994" t="str">
            <v>.</v>
          </cell>
          <cell r="V994" t="str">
            <v>.</v>
          </cell>
          <cell r="W994" t="str">
            <v>.</v>
          </cell>
          <cell r="X994" t="str">
            <v>.</v>
          </cell>
          <cell r="Y994" t="str">
            <v>.</v>
          </cell>
          <cell r="Z994" t="str">
            <v>.</v>
          </cell>
          <cell r="AA994" t="str">
            <v>.</v>
          </cell>
          <cell r="AB994" t="str">
            <v>.</v>
          </cell>
          <cell r="AC994" t="str">
            <v>.</v>
          </cell>
          <cell r="AD994" t="str">
            <v>.</v>
          </cell>
          <cell r="AE994" t="str">
            <v>.</v>
          </cell>
          <cell r="AF994" t="str">
            <v>.</v>
          </cell>
          <cell r="AG994" t="str">
            <v>.</v>
          </cell>
          <cell r="AH994" t="str">
            <v>.</v>
          </cell>
          <cell r="AI994" t="str">
            <v>.</v>
          </cell>
          <cell r="AJ994" t="str">
            <v>.</v>
          </cell>
          <cell r="AK994" t="str">
            <v>.</v>
          </cell>
          <cell r="AL994" t="str">
            <v>.</v>
          </cell>
          <cell r="AM994" t="str">
            <v>.</v>
          </cell>
          <cell r="AN994" t="str">
            <v>.</v>
          </cell>
          <cell r="AO994" t="str">
            <v>.</v>
          </cell>
          <cell r="AP994" t="str">
            <v>.</v>
          </cell>
          <cell r="AQ994" t="str">
            <v>.</v>
          </cell>
          <cell r="AR994" t="str">
            <v>.</v>
          </cell>
          <cell r="AS994" t="str">
            <v>.</v>
          </cell>
          <cell r="AT994" t="str">
            <v>.</v>
          </cell>
          <cell r="AU994" t="str">
            <v>.</v>
          </cell>
          <cell r="AV994" t="str">
            <v>.</v>
          </cell>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4"/>
      <sheetData sheetId="15" refreshError="1">
        <row r="1">
          <cell r="N1" t="str">
            <v>SmartCharts</v>
          </cell>
          <cell r="AW1" t="str">
            <v>.</v>
          </cell>
        </row>
        <row r="2">
          <cell r="AW2" t="str">
            <v>.</v>
          </cell>
        </row>
        <row r="3">
          <cell r="AW3" t="str">
            <v>.</v>
          </cell>
        </row>
        <row r="4">
          <cell r="AW4" t="str">
            <v>.</v>
          </cell>
        </row>
        <row r="5">
          <cell r="C5" t="str">
            <v>Define value axis here:</v>
          </cell>
        </row>
        <row r="6">
          <cell r="C6" t="str">
            <v>Emerging Markets Year-Over-Year Sales Growth</v>
          </cell>
        </row>
        <row r="10">
          <cell r="C10" t="str">
            <v>Input your data here:</v>
          </cell>
          <cell r="AW10" t="str">
            <v>.</v>
          </cell>
        </row>
        <row r="11">
          <cell r="C11" t="str">
            <v>H207</v>
          </cell>
          <cell r="D11">
            <v>0.19500000000000001</v>
          </cell>
        </row>
        <row r="12">
          <cell r="C12">
            <v>2008</v>
          </cell>
          <cell r="D12">
            <v>0.17499999999999999</v>
          </cell>
          <cell r="AW12" t="str">
            <v>.</v>
          </cell>
        </row>
        <row r="13">
          <cell r="C13" t="str">
            <v>H109</v>
          </cell>
          <cell r="D13">
            <v>0</v>
          </cell>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6"/>
      <sheetData sheetId="17" refreshError="1">
        <row r="1">
          <cell r="R1" t="str">
            <v>SmartCharts</v>
          </cell>
          <cell r="BA1" t="str">
            <v>.</v>
          </cell>
        </row>
        <row r="2">
          <cell r="BA2" t="str">
            <v>.</v>
          </cell>
        </row>
        <row r="3">
          <cell r="BA3" t="str">
            <v>.</v>
          </cell>
        </row>
        <row r="4">
          <cell r="BA4" t="str">
            <v>.</v>
          </cell>
        </row>
        <row r="5">
          <cell r="C5" t="str">
            <v>Define value axis here:</v>
          </cell>
        </row>
        <row r="6">
          <cell r="C6" t="str">
            <v>Tupperware Topline Organic Growth Build-Up</v>
          </cell>
        </row>
        <row r="10">
          <cell r="C10" t="str">
            <v>Input your data here:</v>
          </cell>
          <cell r="BA10" t="str">
            <v>.</v>
          </cell>
        </row>
        <row r="11">
          <cell r="D11" t="str">
            <v>Emerging Markets</v>
          </cell>
          <cell r="E11" t="str">
            <v>Established Markets</v>
          </cell>
          <cell r="BA11" t="str">
            <v>.</v>
          </cell>
        </row>
        <row r="12">
          <cell r="C12" t="str">
            <v>H207</v>
          </cell>
          <cell r="D12">
            <v>8.7800000000000017E-2</v>
          </cell>
          <cell r="E12">
            <v>1.5199999999999993E-2</v>
          </cell>
          <cell r="F12">
            <v>0.10500000000000001</v>
          </cell>
          <cell r="BA12" t="str">
            <v>.</v>
          </cell>
        </row>
        <row r="13">
          <cell r="C13">
            <v>2008</v>
          </cell>
          <cell r="D13">
            <v>8.7624999999999995E-2</v>
          </cell>
          <cell r="E13">
            <v>-1.0124999999999997E-2</v>
          </cell>
          <cell r="F13">
            <v>7.7500000000000013E-2</v>
          </cell>
          <cell r="BA13" t="str">
            <v>.</v>
          </cell>
        </row>
        <row r="14">
          <cell r="C14" t="str">
            <v>H109</v>
          </cell>
          <cell r="D14">
            <v>5.1000000000000004E-2</v>
          </cell>
          <cell r="E14">
            <v>-2.6000000000000002E-2</v>
          </cell>
          <cell r="F14">
            <v>2.5000000000000001E-2</v>
          </cell>
          <cell r="BA14" t="str">
            <v>.</v>
          </cell>
        </row>
        <row r="15">
          <cell r="BA15" t="str">
            <v>.</v>
          </cell>
        </row>
        <row r="16">
          <cell r="BA16" t="str">
            <v>.</v>
          </cell>
        </row>
        <row r="17">
          <cell r="BA17" t="str">
            <v>.</v>
          </cell>
        </row>
        <row r="18">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18" refreshError="1">
        <row r="1">
          <cell r="R1" t="str">
            <v>SmartCharts</v>
          </cell>
          <cell r="BA1" t="str">
            <v>.</v>
          </cell>
        </row>
        <row r="2">
          <cell r="BA2" t="str">
            <v>.</v>
          </cell>
        </row>
        <row r="3">
          <cell r="BA3" t="str">
            <v>.</v>
          </cell>
        </row>
        <row r="4">
          <cell r="BA4" t="str">
            <v>.</v>
          </cell>
        </row>
        <row r="5">
          <cell r="C5" t="str">
            <v>Define value axis here:</v>
          </cell>
        </row>
        <row r="6">
          <cell r="C6" t="str">
            <v>Tupperware Topline Organic Growth Build-Up</v>
          </cell>
        </row>
        <row r="10">
          <cell r="C10" t="str">
            <v>Input your data here:</v>
          </cell>
          <cell r="BA10" t="str">
            <v>.</v>
          </cell>
        </row>
        <row r="11">
          <cell r="D11" t="str">
            <v>North America/Germany</v>
          </cell>
          <cell r="E11" t="str">
            <v>Base Business</v>
          </cell>
          <cell r="BA11" t="str">
            <v>.</v>
          </cell>
        </row>
        <row r="12">
          <cell r="C12">
            <v>2003</v>
          </cell>
          <cell r="D12">
            <v>0</v>
          </cell>
          <cell r="E12">
            <v>2003</v>
          </cell>
          <cell r="F12">
            <v>-4.3226098776619835E-2</v>
          </cell>
          <cell r="BA12" t="str">
            <v>.</v>
          </cell>
        </row>
        <row r="13">
          <cell r="C13">
            <v>2004</v>
          </cell>
          <cell r="D13">
            <v>0</v>
          </cell>
          <cell r="E13">
            <v>2004</v>
          </cell>
          <cell r="F13">
            <v>-2.9962546816479387E-2</v>
          </cell>
          <cell r="BA13" t="str">
            <v>.</v>
          </cell>
        </row>
        <row r="14">
          <cell r="C14">
            <v>2005</v>
          </cell>
          <cell r="D14">
            <v>0</v>
          </cell>
          <cell r="E14">
            <v>2005</v>
          </cell>
          <cell r="F14">
            <v>-2.9728846782097355E-2</v>
          </cell>
          <cell r="BA14" t="str">
            <v>.</v>
          </cell>
        </row>
        <row r="15">
          <cell r="C15">
            <v>2006</v>
          </cell>
          <cell r="D15">
            <v>0</v>
          </cell>
          <cell r="E15">
            <v>2006</v>
          </cell>
          <cell r="F15">
            <v>-0.01</v>
          </cell>
          <cell r="BA15" t="str">
            <v>.</v>
          </cell>
        </row>
        <row r="16">
          <cell r="BA16" t="str">
            <v>.</v>
          </cell>
        </row>
        <row r="17">
          <cell r="BA17" t="str">
            <v>.</v>
          </cell>
        </row>
        <row r="18">
          <cell r="F18">
            <v>0.45390070921985815</v>
          </cell>
          <cell r="BA18"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J35" t="str">
            <v>Do not change the width of the exhibit or font sizes (they are optimized for export to Word).</v>
          </cell>
          <cell r="BA35" t="str">
            <v>.</v>
          </cell>
        </row>
        <row r="36">
          <cell r="BA36" t="str">
            <v>.</v>
          </cell>
        </row>
        <row r="37">
          <cell r="J37" t="str">
            <v>Do not delete any rows or columns (some gray cells are used for calculations).</v>
          </cell>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A997" t="str">
            <v>.</v>
          </cell>
          <cell r="B997" t="str">
            <v>.</v>
          </cell>
          <cell r="C997" t="str">
            <v>.</v>
          </cell>
          <cell r="D997" t="str">
            <v>.</v>
          </cell>
          <cell r="E997" t="str">
            <v>.</v>
          </cell>
          <cell r="F997" t="str">
            <v>.</v>
          </cell>
          <cell r="G997" t="str">
            <v>.</v>
          </cell>
          <cell r="H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row>
      </sheetData>
      <sheetData sheetId="19"/>
      <sheetData sheetId="2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NA Organic Sales Growth    </v>
          </cell>
          <cell r="AD8">
            <v>4</v>
          </cell>
        </row>
        <row r="10">
          <cell r="C10" t="str">
            <v>Input your data here:</v>
          </cell>
          <cell r="BC10" t="str">
            <v>.</v>
          </cell>
        </row>
        <row r="11">
          <cell r="D11" t="str">
            <v>NA Organic Sales Growth</v>
          </cell>
          <cell r="E11" t="str">
            <v>NA Operating Profit</v>
          </cell>
          <cell r="BC11" t="str">
            <v>.</v>
          </cell>
        </row>
        <row r="12">
          <cell r="C12">
            <v>2001</v>
          </cell>
          <cell r="D12">
            <v>0.17</v>
          </cell>
          <cell r="E12">
            <v>32.9</v>
          </cell>
        </row>
        <row r="13">
          <cell r="C13">
            <v>2002</v>
          </cell>
          <cell r="D13">
            <v>0.06</v>
          </cell>
          <cell r="E13">
            <v>30.4</v>
          </cell>
        </row>
        <row r="14">
          <cell r="C14">
            <v>2003</v>
          </cell>
          <cell r="D14">
            <v>-0.17846497764530544</v>
          </cell>
          <cell r="E14">
            <v>-22.4</v>
          </cell>
          <cell r="BC14" t="str">
            <v>.</v>
          </cell>
        </row>
        <row r="15">
          <cell r="C15">
            <v>2004</v>
          </cell>
          <cell r="D15">
            <v>-0.12803234501347704</v>
          </cell>
          <cell r="E15">
            <v>-31.000000000000004</v>
          </cell>
          <cell r="BC15" t="str">
            <v>.</v>
          </cell>
        </row>
        <row r="16">
          <cell r="C16">
            <v>2005</v>
          </cell>
          <cell r="D16">
            <v>-0.19323423885187074</v>
          </cell>
          <cell r="E16">
            <v>-14.700000000000001</v>
          </cell>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21"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NA Organic Sales Growth    </v>
          </cell>
          <cell r="AD8">
            <v>4</v>
          </cell>
        </row>
        <row r="10">
          <cell r="C10" t="str">
            <v>Input your data here:</v>
          </cell>
          <cell r="BC10" t="str">
            <v>.</v>
          </cell>
        </row>
        <row r="11">
          <cell r="D11" t="str">
            <v>NA Organic Sales Growth</v>
          </cell>
          <cell r="E11" t="str">
            <v>NA Operating Profit</v>
          </cell>
          <cell r="BC11" t="str">
            <v>.</v>
          </cell>
        </row>
        <row r="12">
          <cell r="C12">
            <v>2006</v>
          </cell>
          <cell r="D12" t="e">
            <v>#VALUE!</v>
          </cell>
          <cell r="E12">
            <v>8.7590000000000003</v>
          </cell>
        </row>
        <row r="13">
          <cell r="C13">
            <v>2007</v>
          </cell>
          <cell r="D13">
            <v>0.129956765850891</v>
          </cell>
          <cell r="E13">
            <v>21.3</v>
          </cell>
        </row>
        <row r="14">
          <cell r="C14">
            <v>2008</v>
          </cell>
          <cell r="D14">
            <v>5.1759834368530051E-2</v>
          </cell>
          <cell r="E14">
            <v>27.700000000000003</v>
          </cell>
          <cell r="BC14" t="str">
            <v>.</v>
          </cell>
        </row>
        <row r="15">
          <cell r="C15" t="str">
            <v>2009E</v>
          </cell>
          <cell r="D15">
            <v>4.0553907022749774E-2</v>
          </cell>
          <cell r="E15">
            <v>38.1</v>
          </cell>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22"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Germany Sales Growth    </v>
          </cell>
          <cell r="AD8">
            <v>4</v>
          </cell>
        </row>
        <row r="10">
          <cell r="C10" t="str">
            <v>Input your data here:</v>
          </cell>
          <cell r="BC10" t="str">
            <v>.</v>
          </cell>
        </row>
        <row r="11">
          <cell r="D11" t="str">
            <v>Germany Sales Growth</v>
          </cell>
          <cell r="E11" t="str">
            <v>European Operating Margin</v>
          </cell>
          <cell r="BC11" t="str">
            <v>.</v>
          </cell>
        </row>
        <row r="12">
          <cell r="C12">
            <v>2003</v>
          </cell>
          <cell r="D12">
            <v>9.6153846153846256E-2</v>
          </cell>
          <cell r="E12">
            <v>-55.672795506458705</v>
          </cell>
        </row>
        <row r="13">
          <cell r="C13">
            <v>2004</v>
          </cell>
          <cell r="D13">
            <v>-9.4117647058823417E-3</v>
          </cell>
          <cell r="E13">
            <v>191.79462773477428</v>
          </cell>
        </row>
        <row r="14">
          <cell r="C14">
            <v>2005</v>
          </cell>
          <cell r="D14">
            <v>-8.0047789725209095E-2</v>
          </cell>
          <cell r="E14">
            <v>-280.48287414081915</v>
          </cell>
          <cell r="BC14" t="str">
            <v>.</v>
          </cell>
        </row>
        <row r="15">
          <cell r="C15">
            <v>2006</v>
          </cell>
          <cell r="D15">
            <v>-0.14000000000000001</v>
          </cell>
          <cell r="E15">
            <v>-383.64564149636266</v>
          </cell>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C33">
            <v>2003</v>
          </cell>
          <cell r="D33">
            <v>9.6153846153846256E-2</v>
          </cell>
          <cell r="E33">
            <v>0.20427112349117921</v>
          </cell>
          <cell r="BC33" t="str">
            <v>.</v>
          </cell>
        </row>
        <row r="34">
          <cell r="C34">
            <v>2004</v>
          </cell>
          <cell r="D34">
            <v>-9.4117647058823417E-3</v>
          </cell>
          <cell r="E34">
            <v>0.22345058626465664</v>
          </cell>
          <cell r="BC34" t="str">
            <v>.</v>
          </cell>
        </row>
        <row r="35">
          <cell r="C35">
            <v>2005</v>
          </cell>
          <cell r="D35">
            <v>-8.0047789725209095E-2</v>
          </cell>
          <cell r="E35">
            <v>0.19540229885057472</v>
          </cell>
          <cell r="BC35" t="str">
            <v>.</v>
          </cell>
        </row>
        <row r="36">
          <cell r="C36">
            <v>2006</v>
          </cell>
          <cell r="D36">
            <v>-0.14000000000000001</v>
          </cell>
          <cell r="E36">
            <v>0.15635655138821233</v>
          </cell>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23"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Organic Sales Growth    </v>
          </cell>
          <cell r="AD8">
            <v>4</v>
          </cell>
        </row>
        <row r="10">
          <cell r="C10" t="str">
            <v>Input your data here:</v>
          </cell>
          <cell r="BC10" t="str">
            <v>.</v>
          </cell>
        </row>
        <row r="11">
          <cell r="D11" t="str">
            <v>Organic Sales Growth</v>
          </cell>
          <cell r="E11" t="str">
            <v>Operating Margin YoY Change (Bps)</v>
          </cell>
          <cell r="BC11" t="str">
            <v>.</v>
          </cell>
        </row>
        <row r="12">
          <cell r="C12" t="str">
            <v>Q107</v>
          </cell>
          <cell r="D12">
            <v>-7.7014218009479468E-3</v>
          </cell>
          <cell r="E12">
            <v>-163.85777739995305</v>
          </cell>
        </row>
        <row r="13">
          <cell r="C13" t="str">
            <v>Q207</v>
          </cell>
          <cell r="D13">
            <v>2.6000000000000002E-2</v>
          </cell>
          <cell r="E13">
            <v>-71.075467818219053</v>
          </cell>
        </row>
        <row r="14">
          <cell r="C14" t="str">
            <v>Q307</v>
          </cell>
          <cell r="D14">
            <v>6.947890818858557E-2</v>
          </cell>
          <cell r="E14">
            <v>269.54422045990327</v>
          </cell>
          <cell r="BC14" t="str">
            <v>.</v>
          </cell>
        </row>
        <row r="15">
          <cell r="C15" t="str">
            <v>Q407</v>
          </cell>
          <cell r="D15">
            <v>7.0374574347332658E-2</v>
          </cell>
          <cell r="E15">
            <v>230.68241896230634</v>
          </cell>
          <cell r="BC15" t="str">
            <v>.</v>
          </cell>
        </row>
        <row r="16">
          <cell r="C16" t="str">
            <v>Q108</v>
          </cell>
          <cell r="D16">
            <v>0.10706278026905816</v>
          </cell>
          <cell r="E16">
            <v>99.079312325118522</v>
          </cell>
          <cell r="BC16" t="str">
            <v>.</v>
          </cell>
        </row>
        <row r="17">
          <cell r="C17" t="str">
            <v>Q208</v>
          </cell>
          <cell r="D17">
            <v>0.13140037014188788</v>
          </cell>
          <cell r="E17">
            <v>-66.606119327214657</v>
          </cell>
          <cell r="BC17" t="str">
            <v>.</v>
          </cell>
        </row>
        <row r="18">
          <cell r="C18" t="str">
            <v>Q308</v>
          </cell>
          <cell r="D18">
            <v>8.8616714697406257E-2</v>
          </cell>
          <cell r="E18">
            <v>111.27322491419636</v>
          </cell>
          <cell r="BC18" t="str">
            <v>.</v>
          </cell>
        </row>
        <row r="19">
          <cell r="C19" t="str">
            <v>Q408</v>
          </cell>
          <cell r="D19">
            <v>2.9200574437529936E-2</v>
          </cell>
          <cell r="E19">
            <v>-5.2223922039595916</v>
          </cell>
          <cell r="BC19" t="str">
            <v>.</v>
          </cell>
        </row>
        <row r="20">
          <cell r="C20" t="str">
            <v>Q109</v>
          </cell>
          <cell r="D20">
            <v>-1.8165304268846494E-3</v>
          </cell>
          <cell r="E20">
            <v>-24.005585003543661</v>
          </cell>
          <cell r="BC20" t="str">
            <v>.</v>
          </cell>
        </row>
        <row r="21">
          <cell r="C21" t="str">
            <v>Q209</v>
          </cell>
          <cell r="D21">
            <v>1.7215937038858792E-2</v>
          </cell>
          <cell r="E21">
            <v>267.67590855372447</v>
          </cell>
          <cell r="BC21" t="str">
            <v>.</v>
          </cell>
        </row>
        <row r="22">
          <cell r="C22" t="str">
            <v>Q309</v>
          </cell>
          <cell r="D22">
            <v>5.716080402010057E-2</v>
          </cell>
          <cell r="E22">
            <v>370.41170318598063</v>
          </cell>
          <cell r="BC22" t="str">
            <v>.</v>
          </cell>
        </row>
        <row r="23">
          <cell r="C23" t="str">
            <v>Q409</v>
          </cell>
          <cell r="D23">
            <v>0.13162118780096316</v>
          </cell>
          <cell r="E23">
            <v>401.76492088710017</v>
          </cell>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24" refreshError="1">
        <row r="12">
          <cell r="W12" t="str">
            <v>Q105</v>
          </cell>
          <cell r="X12">
            <v>0.06</v>
          </cell>
        </row>
        <row r="13">
          <cell r="W13" t="str">
            <v>Q205</v>
          </cell>
        </row>
        <row r="14">
          <cell r="W14" t="str">
            <v>Q305</v>
          </cell>
        </row>
        <row r="15">
          <cell r="W15" t="str">
            <v>Q405</v>
          </cell>
        </row>
        <row r="16">
          <cell r="W16" t="str">
            <v>Q106</v>
          </cell>
        </row>
        <row r="17">
          <cell r="W17" t="str">
            <v>Q206</v>
          </cell>
        </row>
        <row r="18">
          <cell r="W18" t="str">
            <v>Q306</v>
          </cell>
        </row>
        <row r="19">
          <cell r="W19" t="str">
            <v>Q406</v>
          </cell>
        </row>
        <row r="20">
          <cell r="W20" t="str">
            <v>Q107</v>
          </cell>
        </row>
        <row r="21">
          <cell r="W21" t="str">
            <v>Q207</v>
          </cell>
        </row>
        <row r="22">
          <cell r="W22" t="str">
            <v>Q307</v>
          </cell>
        </row>
        <row r="23">
          <cell r="W23" t="str">
            <v>Q407</v>
          </cell>
        </row>
        <row r="24">
          <cell r="W24" t="str">
            <v>Q108</v>
          </cell>
        </row>
        <row r="25">
          <cell r="W25" t="str">
            <v>Q208</v>
          </cell>
        </row>
        <row r="26">
          <cell r="W26" t="str">
            <v>Q308</v>
          </cell>
        </row>
        <row r="27">
          <cell r="W27" t="str">
            <v>Q408</v>
          </cell>
        </row>
        <row r="28">
          <cell r="W28" t="str">
            <v>Q109</v>
          </cell>
        </row>
        <row r="29">
          <cell r="W29" t="str">
            <v>Q209</v>
          </cell>
        </row>
        <row r="30">
          <cell r="W30" t="e">
            <v>#VALUE!</v>
          </cell>
        </row>
        <row r="31">
          <cell r="W31" t="b">
            <v>0</v>
          </cell>
        </row>
        <row r="32">
          <cell r="W32" t="b">
            <v>0</v>
          </cell>
        </row>
        <row r="33">
          <cell r="W33" t="b">
            <v>0</v>
          </cell>
        </row>
        <row r="34">
          <cell r="W34" t="b">
            <v>0</v>
          </cell>
        </row>
        <row r="35">
          <cell r="W35" t="b">
            <v>0</v>
          </cell>
        </row>
        <row r="36">
          <cell r="W36" t="b">
            <v>0</v>
          </cell>
        </row>
        <row r="37">
          <cell r="W37" t="b">
            <v>0</v>
          </cell>
        </row>
        <row r="38">
          <cell r="W38" t="b">
            <v>0</v>
          </cell>
        </row>
        <row r="39">
          <cell r="W39" t="b">
            <v>0</v>
          </cell>
        </row>
        <row r="40">
          <cell r="W40" t="b">
            <v>0</v>
          </cell>
        </row>
        <row r="41">
          <cell r="W41" t="b">
            <v>0</v>
          </cell>
        </row>
        <row r="42">
          <cell r="W42" t="b">
            <v>0</v>
          </cell>
        </row>
        <row r="43">
          <cell r="W43" t="b">
            <v>0</v>
          </cell>
        </row>
        <row r="44">
          <cell r="W44" t="b">
            <v>0</v>
          </cell>
        </row>
        <row r="45">
          <cell r="W45" t="b">
            <v>0</v>
          </cell>
        </row>
        <row r="46">
          <cell r="W46" t="b">
            <v>0</v>
          </cell>
        </row>
        <row r="47">
          <cell r="W47" t="b">
            <v>0</v>
          </cell>
        </row>
        <row r="48">
          <cell r="W48" t="b">
            <v>0</v>
          </cell>
        </row>
        <row r="49">
          <cell r="W49" t="b">
            <v>0</v>
          </cell>
        </row>
        <row r="50">
          <cell r="W50" t="b">
            <v>0</v>
          </cell>
        </row>
        <row r="51">
          <cell r="W51" t="b">
            <v>0</v>
          </cell>
        </row>
        <row r="52">
          <cell r="W52" t="b">
            <v>0</v>
          </cell>
        </row>
        <row r="53">
          <cell r="W53" t="b">
            <v>0</v>
          </cell>
        </row>
        <row r="54">
          <cell r="W54" t="b">
            <v>0</v>
          </cell>
        </row>
        <row r="55">
          <cell r="W55" t="b">
            <v>0</v>
          </cell>
        </row>
        <row r="56">
          <cell r="W56" t="b">
            <v>0</v>
          </cell>
        </row>
        <row r="57">
          <cell r="W57" t="b">
            <v>0</v>
          </cell>
        </row>
        <row r="58">
          <cell r="W58" t="b">
            <v>0</v>
          </cell>
        </row>
        <row r="59">
          <cell r="W59" t="b">
            <v>0</v>
          </cell>
        </row>
        <row r="60">
          <cell r="W60" t="b">
            <v>0</v>
          </cell>
        </row>
        <row r="61">
          <cell r="W61" t="b">
            <v>0</v>
          </cell>
        </row>
        <row r="62">
          <cell r="W62" t="b">
            <v>0</v>
          </cell>
        </row>
        <row r="63">
          <cell r="W63" t="b">
            <v>0</v>
          </cell>
        </row>
        <row r="64">
          <cell r="W64" t="b">
            <v>0</v>
          </cell>
        </row>
        <row r="65">
          <cell r="W65" t="b">
            <v>0</v>
          </cell>
        </row>
        <row r="66">
          <cell r="W66" t="b">
            <v>0</v>
          </cell>
        </row>
        <row r="67">
          <cell r="W67" t="b">
            <v>0</v>
          </cell>
        </row>
        <row r="68">
          <cell r="W68" t="b">
            <v>0</v>
          </cell>
        </row>
        <row r="69">
          <cell r="W69" t="b">
            <v>0</v>
          </cell>
        </row>
        <row r="70">
          <cell r="W70" t="b">
            <v>0</v>
          </cell>
        </row>
        <row r="71">
          <cell r="W71" t="b">
            <v>0</v>
          </cell>
        </row>
        <row r="72">
          <cell r="W72" t="b">
            <v>0</v>
          </cell>
        </row>
        <row r="73">
          <cell r="W73" t="b">
            <v>0</v>
          </cell>
        </row>
        <row r="74">
          <cell r="W74" t="b">
            <v>0</v>
          </cell>
        </row>
        <row r="75">
          <cell r="W75" t="b">
            <v>0</v>
          </cell>
        </row>
        <row r="76">
          <cell r="W76" t="b">
            <v>0</v>
          </cell>
        </row>
        <row r="77">
          <cell r="W77" t="b">
            <v>0</v>
          </cell>
        </row>
        <row r="78">
          <cell r="W78" t="b">
            <v>0</v>
          </cell>
        </row>
        <row r="79">
          <cell r="W79" t="b">
            <v>0</v>
          </cell>
        </row>
        <row r="80">
          <cell r="W80" t="b">
            <v>0</v>
          </cell>
        </row>
        <row r="81">
          <cell r="W81" t="b">
            <v>0</v>
          </cell>
        </row>
        <row r="82">
          <cell r="W82" t="b">
            <v>0</v>
          </cell>
        </row>
        <row r="83">
          <cell r="W83" t="b">
            <v>0</v>
          </cell>
        </row>
        <row r="84">
          <cell r="W84" t="b">
            <v>0</v>
          </cell>
        </row>
        <row r="85">
          <cell r="W85" t="b">
            <v>0</v>
          </cell>
        </row>
        <row r="86">
          <cell r="W86" t="b">
            <v>0</v>
          </cell>
        </row>
        <row r="87">
          <cell r="W87" t="b">
            <v>0</v>
          </cell>
        </row>
        <row r="88">
          <cell r="W88" t="b">
            <v>0</v>
          </cell>
        </row>
        <row r="89">
          <cell r="W89" t="b">
            <v>0</v>
          </cell>
        </row>
        <row r="90">
          <cell r="W90" t="b">
            <v>0</v>
          </cell>
        </row>
        <row r="91">
          <cell r="W91" t="b">
            <v>0</v>
          </cell>
        </row>
        <row r="92">
          <cell r="W92" t="b">
            <v>0</v>
          </cell>
        </row>
        <row r="93">
          <cell r="W93" t="b">
            <v>0</v>
          </cell>
        </row>
        <row r="94">
          <cell r="W94" t="b">
            <v>0</v>
          </cell>
        </row>
        <row r="95">
          <cell r="W95" t="b">
            <v>0</v>
          </cell>
        </row>
        <row r="96">
          <cell r="W96" t="b">
            <v>0</v>
          </cell>
        </row>
        <row r="97">
          <cell r="W97" t="b">
            <v>0</v>
          </cell>
        </row>
        <row r="98">
          <cell r="W98" t="b">
            <v>0</v>
          </cell>
        </row>
        <row r="99">
          <cell r="W99" t="b">
            <v>0</v>
          </cell>
        </row>
        <row r="100">
          <cell r="W100" t="b">
            <v>0</v>
          </cell>
        </row>
        <row r="101">
          <cell r="W101" t="b">
            <v>0</v>
          </cell>
        </row>
        <row r="102">
          <cell r="W102" t="b">
            <v>0</v>
          </cell>
        </row>
        <row r="103">
          <cell r="W103" t="b">
            <v>0</v>
          </cell>
        </row>
        <row r="104">
          <cell r="W104" t="b">
            <v>0</v>
          </cell>
        </row>
        <row r="105">
          <cell r="W105" t="b">
            <v>0</v>
          </cell>
        </row>
        <row r="106">
          <cell r="W106" t="b">
            <v>0</v>
          </cell>
        </row>
        <row r="107">
          <cell r="W107" t="b">
            <v>0</v>
          </cell>
        </row>
        <row r="108">
          <cell r="W108" t="b">
            <v>0</v>
          </cell>
        </row>
        <row r="109">
          <cell r="W109" t="b">
            <v>0</v>
          </cell>
        </row>
        <row r="110">
          <cell r="W110" t="b">
            <v>0</v>
          </cell>
        </row>
        <row r="111">
          <cell r="W111" t="b">
            <v>0</v>
          </cell>
        </row>
        <row r="112">
          <cell r="W112" t="b">
            <v>0</v>
          </cell>
        </row>
        <row r="113">
          <cell r="W113" t="b">
            <v>0</v>
          </cell>
        </row>
        <row r="114">
          <cell r="W114" t="b">
            <v>0</v>
          </cell>
        </row>
        <row r="115">
          <cell r="W115" t="b">
            <v>0</v>
          </cell>
        </row>
        <row r="116">
          <cell r="W116" t="b">
            <v>0</v>
          </cell>
        </row>
        <row r="117">
          <cell r="W117" t="b">
            <v>0</v>
          </cell>
        </row>
        <row r="118">
          <cell r="W118" t="b">
            <v>0</v>
          </cell>
        </row>
        <row r="119">
          <cell r="W119" t="b">
            <v>0</v>
          </cell>
        </row>
        <row r="120">
          <cell r="W120" t="b">
            <v>0</v>
          </cell>
        </row>
        <row r="121">
          <cell r="W121" t="b">
            <v>0</v>
          </cell>
        </row>
        <row r="122">
          <cell r="W122" t="b">
            <v>0</v>
          </cell>
        </row>
        <row r="123">
          <cell r="W123" t="b">
            <v>0</v>
          </cell>
        </row>
        <row r="124">
          <cell r="W124" t="b">
            <v>0</v>
          </cell>
        </row>
        <row r="125">
          <cell r="W125" t="b">
            <v>0</v>
          </cell>
        </row>
        <row r="126">
          <cell r="W126" t="b">
            <v>0</v>
          </cell>
        </row>
        <row r="127">
          <cell r="W127" t="b">
            <v>0</v>
          </cell>
        </row>
        <row r="128">
          <cell r="W128" t="b">
            <v>0</v>
          </cell>
        </row>
        <row r="129">
          <cell r="W129" t="b">
            <v>0</v>
          </cell>
        </row>
        <row r="130">
          <cell r="W130" t="b">
            <v>0</v>
          </cell>
        </row>
        <row r="131">
          <cell r="W131" t="b">
            <v>0</v>
          </cell>
        </row>
        <row r="132">
          <cell r="W132" t="b">
            <v>0</v>
          </cell>
        </row>
        <row r="133">
          <cell r="W133" t="b">
            <v>0</v>
          </cell>
        </row>
        <row r="134">
          <cell r="W134" t="b">
            <v>0</v>
          </cell>
        </row>
        <row r="135">
          <cell r="W135" t="b">
            <v>0</v>
          </cell>
        </row>
        <row r="136">
          <cell r="W136" t="b">
            <v>0</v>
          </cell>
        </row>
        <row r="137">
          <cell r="W137" t="b">
            <v>0</v>
          </cell>
        </row>
        <row r="138">
          <cell r="W138" t="b">
            <v>0</v>
          </cell>
        </row>
        <row r="139">
          <cell r="W139" t="b">
            <v>0</v>
          </cell>
        </row>
        <row r="140">
          <cell r="W140" t="b">
            <v>0</v>
          </cell>
        </row>
        <row r="141">
          <cell r="W141" t="b">
            <v>0</v>
          </cell>
        </row>
        <row r="142">
          <cell r="W142" t="b">
            <v>0</v>
          </cell>
        </row>
        <row r="143">
          <cell r="W143" t="b">
            <v>0</v>
          </cell>
        </row>
        <row r="144">
          <cell r="W144" t="b">
            <v>0</v>
          </cell>
        </row>
        <row r="145">
          <cell r="W145" t="b">
            <v>0</v>
          </cell>
        </row>
        <row r="146">
          <cell r="W146" t="b">
            <v>0</v>
          </cell>
        </row>
        <row r="147">
          <cell r="W147" t="b">
            <v>0</v>
          </cell>
        </row>
        <row r="148">
          <cell r="W148" t="b">
            <v>0</v>
          </cell>
        </row>
        <row r="149">
          <cell r="W149" t="b">
            <v>0</v>
          </cell>
        </row>
        <row r="150">
          <cell r="W150" t="b">
            <v>0</v>
          </cell>
        </row>
        <row r="151">
          <cell r="W151" t="b">
            <v>0</v>
          </cell>
        </row>
        <row r="152">
          <cell r="W152" t="b">
            <v>0</v>
          </cell>
        </row>
        <row r="153">
          <cell r="W153" t="b">
            <v>0</v>
          </cell>
        </row>
        <row r="154">
          <cell r="W154" t="b">
            <v>0</v>
          </cell>
        </row>
        <row r="155">
          <cell r="W155" t="b">
            <v>0</v>
          </cell>
        </row>
        <row r="156">
          <cell r="W156" t="b">
            <v>0</v>
          </cell>
        </row>
        <row r="157">
          <cell r="W157" t="b">
            <v>0</v>
          </cell>
        </row>
        <row r="158">
          <cell r="W158" t="b">
            <v>0</v>
          </cell>
        </row>
        <row r="159">
          <cell r="W159" t="b">
            <v>0</v>
          </cell>
        </row>
        <row r="160">
          <cell r="W160" t="b">
            <v>0</v>
          </cell>
        </row>
        <row r="161">
          <cell r="W161" t="b">
            <v>0</v>
          </cell>
        </row>
        <row r="162">
          <cell r="W162" t="b">
            <v>0</v>
          </cell>
        </row>
        <row r="163">
          <cell r="W163" t="b">
            <v>0</v>
          </cell>
        </row>
        <row r="164">
          <cell r="W164" t="b">
            <v>0</v>
          </cell>
        </row>
        <row r="165">
          <cell r="W165" t="b">
            <v>0</v>
          </cell>
        </row>
        <row r="166">
          <cell r="W166" t="b">
            <v>0</v>
          </cell>
        </row>
        <row r="167">
          <cell r="W167" t="b">
            <v>0</v>
          </cell>
        </row>
        <row r="168">
          <cell r="W168" t="b">
            <v>0</v>
          </cell>
        </row>
        <row r="169">
          <cell r="W169" t="b">
            <v>0</v>
          </cell>
        </row>
        <row r="170">
          <cell r="W170" t="b">
            <v>0</v>
          </cell>
        </row>
        <row r="171">
          <cell r="W171" t="b">
            <v>0</v>
          </cell>
        </row>
        <row r="172">
          <cell r="W172" t="b">
            <v>0</v>
          </cell>
        </row>
        <row r="173">
          <cell r="W173" t="b">
            <v>0</v>
          </cell>
        </row>
        <row r="174">
          <cell r="W174" t="b">
            <v>0</v>
          </cell>
        </row>
        <row r="175">
          <cell r="W175" t="b">
            <v>0</v>
          </cell>
        </row>
        <row r="176">
          <cell r="W176" t="b">
            <v>0</v>
          </cell>
        </row>
        <row r="177">
          <cell r="W177" t="b">
            <v>0</v>
          </cell>
        </row>
        <row r="178">
          <cell r="W178" t="b">
            <v>0</v>
          </cell>
        </row>
        <row r="179">
          <cell r="W179" t="b">
            <v>0</v>
          </cell>
        </row>
        <row r="180">
          <cell r="W180" t="b">
            <v>0</v>
          </cell>
        </row>
        <row r="181">
          <cell r="W181" t="b">
            <v>0</v>
          </cell>
        </row>
        <row r="182">
          <cell r="W182" t="b">
            <v>0</v>
          </cell>
        </row>
        <row r="183">
          <cell r="W183" t="b">
            <v>0</v>
          </cell>
        </row>
        <row r="184">
          <cell r="W184" t="b">
            <v>0</v>
          </cell>
        </row>
        <row r="185">
          <cell r="W185" t="b">
            <v>0</v>
          </cell>
        </row>
        <row r="186">
          <cell r="W186" t="b">
            <v>0</v>
          </cell>
        </row>
        <row r="187">
          <cell r="W187" t="b">
            <v>0</v>
          </cell>
        </row>
        <row r="188">
          <cell r="W188" t="b">
            <v>0</v>
          </cell>
        </row>
        <row r="189">
          <cell r="W189" t="b">
            <v>0</v>
          </cell>
        </row>
        <row r="190">
          <cell r="W190" t="b">
            <v>0</v>
          </cell>
        </row>
        <row r="191">
          <cell r="W191" t="b">
            <v>0</v>
          </cell>
        </row>
        <row r="192">
          <cell r="W192" t="b">
            <v>0</v>
          </cell>
        </row>
        <row r="193">
          <cell r="W193" t="b">
            <v>0</v>
          </cell>
        </row>
        <row r="194">
          <cell r="W194" t="b">
            <v>0</v>
          </cell>
        </row>
        <row r="195">
          <cell r="W195" t="b">
            <v>0</v>
          </cell>
        </row>
        <row r="196">
          <cell r="W196" t="b">
            <v>0</v>
          </cell>
        </row>
        <row r="197">
          <cell r="W197" t="b">
            <v>0</v>
          </cell>
        </row>
        <row r="198">
          <cell r="W198" t="b">
            <v>0</v>
          </cell>
        </row>
        <row r="199">
          <cell r="W199" t="b">
            <v>0</v>
          </cell>
        </row>
        <row r="200">
          <cell r="W200" t="b">
            <v>0</v>
          </cell>
        </row>
        <row r="201">
          <cell r="W201" t="b">
            <v>0</v>
          </cell>
        </row>
        <row r="202">
          <cell r="W202" t="b">
            <v>0</v>
          </cell>
        </row>
        <row r="203">
          <cell r="W203" t="b">
            <v>0</v>
          </cell>
        </row>
        <row r="204">
          <cell r="W204" t="b">
            <v>0</v>
          </cell>
        </row>
        <row r="205">
          <cell r="W205" t="b">
            <v>0</v>
          </cell>
        </row>
        <row r="206">
          <cell r="W206" t="b">
            <v>0</v>
          </cell>
        </row>
        <row r="207">
          <cell r="W207" t="b">
            <v>0</v>
          </cell>
        </row>
        <row r="208">
          <cell r="W208" t="b">
            <v>0</v>
          </cell>
        </row>
        <row r="209">
          <cell r="W209" t="b">
            <v>0</v>
          </cell>
        </row>
        <row r="210">
          <cell r="W210" t="b">
            <v>0</v>
          </cell>
        </row>
        <row r="211">
          <cell r="W211" t="b">
            <v>0</v>
          </cell>
        </row>
        <row r="212">
          <cell r="W212" t="b">
            <v>0</v>
          </cell>
        </row>
        <row r="213">
          <cell r="W213" t="b">
            <v>0</v>
          </cell>
        </row>
        <row r="214">
          <cell r="W214" t="b">
            <v>0</v>
          </cell>
        </row>
        <row r="215">
          <cell r="W215" t="b">
            <v>0</v>
          </cell>
        </row>
        <row r="216">
          <cell r="W216" t="b">
            <v>0</v>
          </cell>
        </row>
        <row r="217">
          <cell r="W217" t="b">
            <v>0</v>
          </cell>
        </row>
        <row r="218">
          <cell r="W218" t="b">
            <v>0</v>
          </cell>
        </row>
        <row r="219">
          <cell r="W219" t="b">
            <v>0</v>
          </cell>
        </row>
        <row r="220">
          <cell r="W220" t="b">
            <v>0</v>
          </cell>
        </row>
        <row r="221">
          <cell r="W221" t="b">
            <v>0</v>
          </cell>
        </row>
        <row r="222">
          <cell r="W222" t="b">
            <v>0</v>
          </cell>
        </row>
        <row r="223">
          <cell r="W223" t="b">
            <v>0</v>
          </cell>
        </row>
        <row r="224">
          <cell r="W224" t="b">
            <v>0</v>
          </cell>
        </row>
        <row r="225">
          <cell r="W225" t="b">
            <v>0</v>
          </cell>
        </row>
        <row r="226">
          <cell r="W226" t="b">
            <v>0</v>
          </cell>
        </row>
        <row r="227">
          <cell r="W227" t="b">
            <v>0</v>
          </cell>
        </row>
        <row r="228">
          <cell r="W228" t="b">
            <v>0</v>
          </cell>
        </row>
        <row r="229">
          <cell r="W229" t="b">
            <v>0</v>
          </cell>
        </row>
        <row r="230">
          <cell r="W230" t="b">
            <v>0</v>
          </cell>
        </row>
        <row r="231">
          <cell r="W231" t="b">
            <v>0</v>
          </cell>
        </row>
        <row r="232">
          <cell r="W232" t="b">
            <v>0</v>
          </cell>
        </row>
        <row r="233">
          <cell r="W233" t="b">
            <v>0</v>
          </cell>
        </row>
        <row r="234">
          <cell r="W234" t="b">
            <v>0</v>
          </cell>
        </row>
        <row r="235">
          <cell r="W235" t="b">
            <v>0</v>
          </cell>
        </row>
        <row r="236">
          <cell r="W236" t="b">
            <v>0</v>
          </cell>
        </row>
        <row r="237">
          <cell r="W237" t="b">
            <v>0</v>
          </cell>
        </row>
        <row r="238">
          <cell r="W238" t="b">
            <v>0</v>
          </cell>
        </row>
        <row r="239">
          <cell r="W239" t="b">
            <v>0</v>
          </cell>
        </row>
        <row r="240">
          <cell r="W240" t="b">
            <v>0</v>
          </cell>
        </row>
        <row r="241">
          <cell r="W241" t="b">
            <v>0</v>
          </cell>
        </row>
        <row r="242">
          <cell r="W242" t="b">
            <v>0</v>
          </cell>
        </row>
        <row r="243">
          <cell r="W243" t="b">
            <v>0</v>
          </cell>
        </row>
        <row r="244">
          <cell r="W244" t="b">
            <v>0</v>
          </cell>
        </row>
        <row r="245">
          <cell r="W245" t="b">
            <v>0</v>
          </cell>
        </row>
        <row r="246">
          <cell r="W246" t="b">
            <v>0</v>
          </cell>
        </row>
        <row r="247">
          <cell r="W247" t="b">
            <v>0</v>
          </cell>
        </row>
        <row r="248">
          <cell r="W248" t="b">
            <v>0</v>
          </cell>
        </row>
        <row r="249">
          <cell r="W249" t="b">
            <v>0</v>
          </cell>
        </row>
        <row r="250">
          <cell r="W250" t="b">
            <v>0</v>
          </cell>
        </row>
        <row r="251">
          <cell r="W251" t="b">
            <v>0</v>
          </cell>
        </row>
        <row r="252">
          <cell r="W252" t="b">
            <v>0</v>
          </cell>
        </row>
        <row r="253">
          <cell r="W253" t="b">
            <v>0</v>
          </cell>
        </row>
        <row r="254">
          <cell r="W254" t="b">
            <v>0</v>
          </cell>
        </row>
        <row r="255">
          <cell r="W255" t="b">
            <v>0</v>
          </cell>
        </row>
        <row r="256">
          <cell r="W256" t="b">
            <v>0</v>
          </cell>
        </row>
        <row r="257">
          <cell r="W257" t="b">
            <v>0</v>
          </cell>
        </row>
        <row r="258">
          <cell r="W258" t="b">
            <v>0</v>
          </cell>
        </row>
        <row r="259">
          <cell r="W259" t="b">
            <v>0</v>
          </cell>
        </row>
        <row r="260">
          <cell r="W260" t="b">
            <v>0</v>
          </cell>
        </row>
        <row r="261">
          <cell r="W261" t="b">
            <v>0</v>
          </cell>
        </row>
        <row r="262">
          <cell r="W262" t="b">
            <v>0</v>
          </cell>
        </row>
        <row r="263">
          <cell r="W263" t="b">
            <v>0</v>
          </cell>
        </row>
        <row r="264">
          <cell r="W264" t="b">
            <v>0</v>
          </cell>
        </row>
        <row r="265">
          <cell r="W265" t="b">
            <v>0</v>
          </cell>
        </row>
        <row r="266">
          <cell r="W266" t="b">
            <v>0</v>
          </cell>
        </row>
        <row r="267">
          <cell r="W267" t="b">
            <v>0</v>
          </cell>
        </row>
        <row r="268">
          <cell r="W268" t="b">
            <v>0</v>
          </cell>
        </row>
        <row r="269">
          <cell r="W269" t="b">
            <v>0</v>
          </cell>
        </row>
        <row r="270">
          <cell r="W270" t="b">
            <v>0</v>
          </cell>
        </row>
        <row r="271">
          <cell r="W271" t="b">
            <v>0</v>
          </cell>
        </row>
        <row r="272">
          <cell r="W272" t="b">
            <v>0</v>
          </cell>
        </row>
        <row r="273">
          <cell r="W273" t="b">
            <v>0</v>
          </cell>
        </row>
        <row r="274">
          <cell r="W274" t="b">
            <v>0</v>
          </cell>
        </row>
        <row r="275">
          <cell r="W275" t="b">
            <v>0</v>
          </cell>
        </row>
        <row r="276">
          <cell r="W276" t="b">
            <v>0</v>
          </cell>
        </row>
        <row r="277">
          <cell r="W277" t="b">
            <v>0</v>
          </cell>
        </row>
        <row r="278">
          <cell r="W278" t="b">
            <v>0</v>
          </cell>
        </row>
        <row r="279">
          <cell r="W279" t="b">
            <v>0</v>
          </cell>
        </row>
        <row r="280">
          <cell r="W280" t="b">
            <v>0</v>
          </cell>
        </row>
        <row r="281">
          <cell r="W281" t="b">
            <v>0</v>
          </cell>
        </row>
        <row r="282">
          <cell r="W282" t="b">
            <v>0</v>
          </cell>
        </row>
        <row r="283">
          <cell r="W283" t="b">
            <v>0</v>
          </cell>
        </row>
        <row r="284">
          <cell r="W284" t="b">
            <v>0</v>
          </cell>
        </row>
        <row r="285">
          <cell r="W285" t="b">
            <v>0</v>
          </cell>
        </row>
        <row r="286">
          <cell r="W286" t="b">
            <v>0</v>
          </cell>
        </row>
        <row r="287">
          <cell r="W287" t="b">
            <v>0</v>
          </cell>
        </row>
        <row r="288">
          <cell r="W288" t="b">
            <v>0</v>
          </cell>
        </row>
        <row r="289">
          <cell r="W289" t="b">
            <v>0</v>
          </cell>
        </row>
        <row r="290">
          <cell r="W290" t="b">
            <v>0</v>
          </cell>
        </row>
        <row r="291">
          <cell r="W291" t="b">
            <v>0</v>
          </cell>
        </row>
        <row r="292">
          <cell r="W292" t="b">
            <v>0</v>
          </cell>
        </row>
        <row r="293">
          <cell r="W293" t="b">
            <v>0</v>
          </cell>
        </row>
        <row r="294">
          <cell r="W294" t="b">
            <v>0</v>
          </cell>
        </row>
        <row r="295">
          <cell r="W295" t="b">
            <v>0</v>
          </cell>
        </row>
        <row r="296">
          <cell r="W296" t="b">
            <v>0</v>
          </cell>
        </row>
        <row r="297">
          <cell r="W297" t="b">
            <v>0</v>
          </cell>
        </row>
        <row r="298">
          <cell r="W298" t="b">
            <v>0</v>
          </cell>
        </row>
        <row r="299">
          <cell r="W299" t="b">
            <v>0</v>
          </cell>
        </row>
        <row r="300">
          <cell r="W300" t="b">
            <v>0</v>
          </cell>
        </row>
        <row r="301">
          <cell r="W301" t="b">
            <v>0</v>
          </cell>
        </row>
        <row r="302">
          <cell r="W302" t="b">
            <v>0</v>
          </cell>
        </row>
        <row r="303">
          <cell r="W303" t="b">
            <v>0</v>
          </cell>
        </row>
        <row r="304">
          <cell r="W304" t="b">
            <v>0</v>
          </cell>
        </row>
        <row r="305">
          <cell r="W305" t="b">
            <v>0</v>
          </cell>
        </row>
        <row r="306">
          <cell r="W306" t="b">
            <v>0</v>
          </cell>
        </row>
        <row r="307">
          <cell r="W307" t="b">
            <v>0</v>
          </cell>
        </row>
        <row r="308">
          <cell r="W308" t="b">
            <v>0</v>
          </cell>
        </row>
        <row r="309">
          <cell r="W309" t="b">
            <v>0</v>
          </cell>
        </row>
        <row r="310">
          <cell r="W310" t="b">
            <v>0</v>
          </cell>
        </row>
        <row r="311">
          <cell r="W311" t="b">
            <v>0</v>
          </cell>
        </row>
        <row r="312">
          <cell r="W312" t="b">
            <v>0</v>
          </cell>
        </row>
        <row r="313">
          <cell r="W313" t="b">
            <v>0</v>
          </cell>
        </row>
        <row r="314">
          <cell r="W314" t="b">
            <v>0</v>
          </cell>
        </row>
        <row r="315">
          <cell r="W315" t="b">
            <v>0</v>
          </cell>
        </row>
        <row r="316">
          <cell r="W316" t="b">
            <v>0</v>
          </cell>
        </row>
        <row r="317">
          <cell r="W317" t="b">
            <v>0</v>
          </cell>
        </row>
        <row r="318">
          <cell r="W318" t="b">
            <v>0</v>
          </cell>
        </row>
        <row r="319">
          <cell r="W319" t="b">
            <v>0</v>
          </cell>
        </row>
        <row r="320">
          <cell r="W320" t="b">
            <v>0</v>
          </cell>
        </row>
        <row r="321">
          <cell r="W321" t="b">
            <v>0</v>
          </cell>
        </row>
        <row r="322">
          <cell r="W322" t="b">
            <v>0</v>
          </cell>
        </row>
        <row r="323">
          <cell r="W323" t="b">
            <v>0</v>
          </cell>
        </row>
        <row r="324">
          <cell r="W324" t="b">
            <v>0</v>
          </cell>
        </row>
        <row r="325">
          <cell r="W325" t="b">
            <v>0</v>
          </cell>
        </row>
        <row r="326">
          <cell r="W326" t="b">
            <v>0</v>
          </cell>
        </row>
        <row r="327">
          <cell r="W327" t="b">
            <v>0</v>
          </cell>
        </row>
        <row r="328">
          <cell r="W328" t="b">
            <v>0</v>
          </cell>
        </row>
        <row r="329">
          <cell r="W329" t="b">
            <v>0</v>
          </cell>
        </row>
        <row r="330">
          <cell r="W330" t="b">
            <v>0</v>
          </cell>
        </row>
        <row r="331">
          <cell r="W331" t="b">
            <v>0</v>
          </cell>
        </row>
        <row r="332">
          <cell r="W332" t="b">
            <v>0</v>
          </cell>
        </row>
        <row r="333">
          <cell r="W333" t="b">
            <v>0</v>
          </cell>
        </row>
        <row r="334">
          <cell r="W334" t="b">
            <v>0</v>
          </cell>
        </row>
        <row r="335">
          <cell r="W335" t="b">
            <v>0</v>
          </cell>
        </row>
        <row r="336">
          <cell r="W336" t="b">
            <v>0</v>
          </cell>
        </row>
        <row r="337">
          <cell r="W337" t="b">
            <v>0</v>
          </cell>
        </row>
        <row r="338">
          <cell r="W338" t="b">
            <v>0</v>
          </cell>
        </row>
        <row r="339">
          <cell r="W339" t="b">
            <v>0</v>
          </cell>
        </row>
        <row r="340">
          <cell r="W340" t="b">
            <v>0</v>
          </cell>
        </row>
        <row r="341">
          <cell r="W341" t="b">
            <v>0</v>
          </cell>
        </row>
        <row r="342">
          <cell r="W342" t="b">
            <v>0</v>
          </cell>
        </row>
        <row r="343">
          <cell r="W343" t="b">
            <v>0</v>
          </cell>
        </row>
        <row r="344">
          <cell r="W344" t="b">
            <v>0</v>
          </cell>
        </row>
        <row r="345">
          <cell r="W345" t="b">
            <v>0</v>
          </cell>
        </row>
        <row r="346">
          <cell r="W346" t="b">
            <v>0</v>
          </cell>
        </row>
        <row r="347">
          <cell r="W347" t="b">
            <v>0</v>
          </cell>
        </row>
        <row r="348">
          <cell r="W348" t="b">
            <v>0</v>
          </cell>
        </row>
        <row r="349">
          <cell r="W349" t="b">
            <v>0</v>
          </cell>
        </row>
        <row r="350">
          <cell r="W350" t="b">
            <v>0</v>
          </cell>
        </row>
        <row r="351">
          <cell r="W351" t="b">
            <v>0</v>
          </cell>
        </row>
        <row r="352">
          <cell r="W352" t="b">
            <v>0</v>
          </cell>
        </row>
        <row r="353">
          <cell r="W353" t="b">
            <v>0</v>
          </cell>
        </row>
        <row r="354">
          <cell r="W354" t="b">
            <v>0</v>
          </cell>
        </row>
        <row r="355">
          <cell r="W355" t="b">
            <v>0</v>
          </cell>
        </row>
        <row r="356">
          <cell r="W356" t="b">
            <v>0</v>
          </cell>
        </row>
        <row r="357">
          <cell r="W357" t="b">
            <v>0</v>
          </cell>
        </row>
        <row r="358">
          <cell r="W358" t="b">
            <v>0</v>
          </cell>
        </row>
        <row r="359">
          <cell r="W359" t="b">
            <v>0</v>
          </cell>
        </row>
        <row r="360">
          <cell r="W360" t="b">
            <v>0</v>
          </cell>
        </row>
        <row r="361">
          <cell r="W361" t="b">
            <v>0</v>
          </cell>
        </row>
        <row r="362">
          <cell r="W362" t="b">
            <v>0</v>
          </cell>
        </row>
        <row r="363">
          <cell r="W363" t="b">
            <v>0</v>
          </cell>
        </row>
        <row r="364">
          <cell r="W364" t="b">
            <v>0</v>
          </cell>
        </row>
        <row r="365">
          <cell r="W365" t="b">
            <v>0</v>
          </cell>
        </row>
        <row r="366">
          <cell r="W366" t="b">
            <v>0</v>
          </cell>
        </row>
        <row r="367">
          <cell r="W367" t="b">
            <v>0</v>
          </cell>
        </row>
        <row r="368">
          <cell r="W368" t="b">
            <v>0</v>
          </cell>
        </row>
        <row r="369">
          <cell r="W369" t="b">
            <v>0</v>
          </cell>
        </row>
        <row r="370">
          <cell r="W370" t="b">
            <v>0</v>
          </cell>
        </row>
        <row r="371">
          <cell r="W371" t="b">
            <v>0</v>
          </cell>
        </row>
        <row r="372">
          <cell r="W372" t="b">
            <v>0</v>
          </cell>
        </row>
        <row r="373">
          <cell r="W373" t="b">
            <v>0</v>
          </cell>
        </row>
        <row r="374">
          <cell r="W374" t="b">
            <v>0</v>
          </cell>
        </row>
        <row r="375">
          <cell r="W375" t="b">
            <v>0</v>
          </cell>
        </row>
        <row r="376">
          <cell r="W376" t="b">
            <v>0</v>
          </cell>
        </row>
        <row r="377">
          <cell r="W377" t="b">
            <v>0</v>
          </cell>
        </row>
        <row r="378">
          <cell r="W378" t="b">
            <v>0</v>
          </cell>
        </row>
        <row r="379">
          <cell r="W379" t="b">
            <v>0</v>
          </cell>
        </row>
        <row r="380">
          <cell r="W380" t="b">
            <v>0</v>
          </cell>
        </row>
        <row r="381">
          <cell r="W381" t="b">
            <v>0</v>
          </cell>
        </row>
        <row r="382">
          <cell r="W382" t="b">
            <v>0</v>
          </cell>
        </row>
        <row r="383">
          <cell r="W383" t="b">
            <v>0</v>
          </cell>
        </row>
        <row r="384">
          <cell r="W384" t="b">
            <v>0</v>
          </cell>
        </row>
        <row r="385">
          <cell r="W385" t="b">
            <v>0</v>
          </cell>
        </row>
        <row r="386">
          <cell r="W386" t="b">
            <v>0</v>
          </cell>
        </row>
        <row r="387">
          <cell r="W387" t="b">
            <v>0</v>
          </cell>
        </row>
        <row r="388">
          <cell r="W388" t="b">
            <v>0</v>
          </cell>
        </row>
        <row r="389">
          <cell r="W389" t="b">
            <v>0</v>
          </cell>
        </row>
        <row r="390">
          <cell r="W390" t="b">
            <v>0</v>
          </cell>
        </row>
        <row r="391">
          <cell r="W391" t="b">
            <v>0</v>
          </cell>
        </row>
        <row r="392">
          <cell r="W392" t="b">
            <v>0</v>
          </cell>
        </row>
        <row r="393">
          <cell r="W393" t="b">
            <v>0</v>
          </cell>
        </row>
        <row r="394">
          <cell r="W394" t="b">
            <v>0</v>
          </cell>
        </row>
        <row r="395">
          <cell r="W395" t="b">
            <v>0</v>
          </cell>
        </row>
        <row r="396">
          <cell r="W396" t="b">
            <v>0</v>
          </cell>
        </row>
        <row r="397">
          <cell r="W397" t="b">
            <v>0</v>
          </cell>
        </row>
        <row r="398">
          <cell r="W398" t="b">
            <v>0</v>
          </cell>
        </row>
        <row r="399">
          <cell r="W399" t="b">
            <v>0</v>
          </cell>
        </row>
        <row r="400">
          <cell r="W400" t="b">
            <v>0</v>
          </cell>
        </row>
        <row r="401">
          <cell r="W401" t="b">
            <v>0</v>
          </cell>
        </row>
        <row r="402">
          <cell r="W402" t="b">
            <v>0</v>
          </cell>
        </row>
        <row r="403">
          <cell r="W403" t="b">
            <v>0</v>
          </cell>
        </row>
        <row r="404">
          <cell r="W404" t="b">
            <v>0</v>
          </cell>
        </row>
        <row r="405">
          <cell r="W405" t="b">
            <v>0</v>
          </cell>
        </row>
        <row r="406">
          <cell r="W406" t="b">
            <v>0</v>
          </cell>
        </row>
        <row r="407">
          <cell r="W407" t="b">
            <v>0</v>
          </cell>
        </row>
        <row r="408">
          <cell r="W408" t="b">
            <v>0</v>
          </cell>
        </row>
        <row r="409">
          <cell r="W409" t="b">
            <v>0</v>
          </cell>
        </row>
        <row r="410">
          <cell r="W410" t="b">
            <v>0</v>
          </cell>
        </row>
        <row r="411">
          <cell r="W411" t="b">
            <v>0</v>
          </cell>
        </row>
        <row r="412">
          <cell r="W412" t="b">
            <v>0</v>
          </cell>
        </row>
        <row r="413">
          <cell r="W413" t="b">
            <v>0</v>
          </cell>
        </row>
        <row r="414">
          <cell r="W414" t="b">
            <v>0</v>
          </cell>
        </row>
        <row r="415">
          <cell r="W415" t="b">
            <v>0</v>
          </cell>
        </row>
        <row r="416">
          <cell r="W416" t="b">
            <v>0</v>
          </cell>
        </row>
        <row r="417">
          <cell r="W417" t="b">
            <v>0</v>
          </cell>
        </row>
        <row r="418">
          <cell r="W418" t="b">
            <v>0</v>
          </cell>
        </row>
        <row r="419">
          <cell r="W419" t="b">
            <v>0</v>
          </cell>
        </row>
        <row r="420">
          <cell r="W420" t="b">
            <v>0</v>
          </cell>
        </row>
        <row r="421">
          <cell r="W421" t="b">
            <v>0</v>
          </cell>
        </row>
        <row r="422">
          <cell r="W422" t="b">
            <v>0</v>
          </cell>
        </row>
        <row r="423">
          <cell r="W423" t="b">
            <v>0</v>
          </cell>
        </row>
        <row r="424">
          <cell r="W424" t="b">
            <v>0</v>
          </cell>
        </row>
        <row r="425">
          <cell r="W425" t="b">
            <v>0</v>
          </cell>
        </row>
        <row r="426">
          <cell r="W426" t="b">
            <v>0</v>
          </cell>
        </row>
        <row r="427">
          <cell r="W427" t="b">
            <v>0</v>
          </cell>
        </row>
        <row r="428">
          <cell r="W428" t="b">
            <v>0</v>
          </cell>
        </row>
        <row r="429">
          <cell r="W429" t="b">
            <v>0</v>
          </cell>
        </row>
        <row r="430">
          <cell r="W430" t="b">
            <v>0</v>
          </cell>
        </row>
        <row r="431">
          <cell r="W431" t="b">
            <v>0</v>
          </cell>
        </row>
        <row r="432">
          <cell r="W432" t="b">
            <v>0</v>
          </cell>
        </row>
        <row r="433">
          <cell r="W433" t="b">
            <v>0</v>
          </cell>
        </row>
        <row r="434">
          <cell r="W434" t="b">
            <v>0</v>
          </cell>
        </row>
        <row r="435">
          <cell r="W435" t="b">
            <v>0</v>
          </cell>
        </row>
        <row r="436">
          <cell r="W436" t="b">
            <v>0</v>
          </cell>
        </row>
        <row r="437">
          <cell r="W437" t="b">
            <v>0</v>
          </cell>
        </row>
        <row r="438">
          <cell r="W438" t="b">
            <v>0</v>
          </cell>
        </row>
        <row r="439">
          <cell r="W439" t="b">
            <v>0</v>
          </cell>
        </row>
        <row r="440">
          <cell r="W440" t="b">
            <v>0</v>
          </cell>
        </row>
        <row r="441">
          <cell r="W441" t="b">
            <v>0</v>
          </cell>
        </row>
        <row r="442">
          <cell r="W442" t="b">
            <v>0</v>
          </cell>
        </row>
        <row r="443">
          <cell r="W443" t="b">
            <v>0</v>
          </cell>
        </row>
        <row r="444">
          <cell r="W444" t="b">
            <v>0</v>
          </cell>
        </row>
        <row r="445">
          <cell r="W445" t="b">
            <v>0</v>
          </cell>
        </row>
        <row r="446">
          <cell r="W446" t="b">
            <v>0</v>
          </cell>
        </row>
        <row r="447">
          <cell r="W447" t="b">
            <v>0</v>
          </cell>
        </row>
        <row r="448">
          <cell r="W448" t="b">
            <v>0</v>
          </cell>
        </row>
        <row r="449">
          <cell r="W449" t="b">
            <v>0</v>
          </cell>
        </row>
        <row r="450">
          <cell r="W450" t="b">
            <v>0</v>
          </cell>
        </row>
        <row r="451">
          <cell r="W451" t="b">
            <v>0</v>
          </cell>
        </row>
        <row r="452">
          <cell r="W452" t="b">
            <v>0</v>
          </cell>
        </row>
        <row r="453">
          <cell r="W453" t="b">
            <v>0</v>
          </cell>
        </row>
        <row r="454">
          <cell r="W454" t="b">
            <v>0</v>
          </cell>
        </row>
        <row r="455">
          <cell r="W455" t="b">
            <v>0</v>
          </cell>
        </row>
        <row r="456">
          <cell r="W456" t="b">
            <v>0</v>
          </cell>
        </row>
        <row r="457">
          <cell r="W457" t="b">
            <v>0</v>
          </cell>
        </row>
        <row r="458">
          <cell r="W458" t="b">
            <v>0</v>
          </cell>
        </row>
        <row r="459">
          <cell r="W459" t="b">
            <v>0</v>
          </cell>
        </row>
        <row r="460">
          <cell r="W460" t="b">
            <v>0</v>
          </cell>
        </row>
        <row r="461">
          <cell r="W461" t="b">
            <v>0</v>
          </cell>
        </row>
        <row r="462">
          <cell r="W462" t="b">
            <v>0</v>
          </cell>
        </row>
        <row r="463">
          <cell r="W463" t="b">
            <v>0</v>
          </cell>
        </row>
        <row r="464">
          <cell r="W464" t="b">
            <v>0</v>
          </cell>
        </row>
        <row r="465">
          <cell r="W465" t="b">
            <v>0</v>
          </cell>
        </row>
        <row r="466">
          <cell r="W466" t="b">
            <v>0</v>
          </cell>
        </row>
        <row r="467">
          <cell r="W467" t="b">
            <v>0</v>
          </cell>
        </row>
        <row r="468">
          <cell r="W468" t="b">
            <v>0</v>
          </cell>
        </row>
        <row r="469">
          <cell r="W469" t="b">
            <v>0</v>
          </cell>
        </row>
        <row r="470">
          <cell r="W470" t="b">
            <v>0</v>
          </cell>
        </row>
        <row r="471">
          <cell r="W471" t="b">
            <v>0</v>
          </cell>
        </row>
        <row r="472">
          <cell r="W472" t="b">
            <v>0</v>
          </cell>
        </row>
        <row r="473">
          <cell r="W473" t="b">
            <v>0</v>
          </cell>
        </row>
        <row r="474">
          <cell r="W474" t="b">
            <v>0</v>
          </cell>
        </row>
        <row r="475">
          <cell r="W475" t="b">
            <v>0</v>
          </cell>
        </row>
        <row r="476">
          <cell r="W476" t="b">
            <v>0</v>
          </cell>
        </row>
        <row r="477">
          <cell r="W477" t="b">
            <v>0</v>
          </cell>
        </row>
        <row r="478">
          <cell r="W478" t="b">
            <v>0</v>
          </cell>
        </row>
        <row r="479">
          <cell r="W479" t="b">
            <v>0</v>
          </cell>
        </row>
        <row r="480">
          <cell r="W480" t="b">
            <v>0</v>
          </cell>
        </row>
        <row r="481">
          <cell r="W481" t="b">
            <v>0</v>
          </cell>
        </row>
        <row r="482">
          <cell r="W482" t="b">
            <v>0</v>
          </cell>
        </row>
        <row r="483">
          <cell r="W483" t="b">
            <v>0</v>
          </cell>
        </row>
        <row r="484">
          <cell r="W484" t="b">
            <v>0</v>
          </cell>
        </row>
        <row r="485">
          <cell r="W485" t="b">
            <v>0</v>
          </cell>
        </row>
        <row r="486">
          <cell r="W486" t="b">
            <v>0</v>
          </cell>
        </row>
        <row r="487">
          <cell r="W487" t="b">
            <v>0</v>
          </cell>
        </row>
        <row r="488">
          <cell r="W488" t="b">
            <v>0</v>
          </cell>
        </row>
        <row r="489">
          <cell r="W489" t="b">
            <v>0</v>
          </cell>
        </row>
        <row r="490">
          <cell r="W490" t="b">
            <v>0</v>
          </cell>
        </row>
        <row r="491">
          <cell r="W491" t="b">
            <v>0</v>
          </cell>
        </row>
        <row r="492">
          <cell r="W492" t="b">
            <v>0</v>
          </cell>
        </row>
        <row r="493">
          <cell r="W493" t="b">
            <v>0</v>
          </cell>
        </row>
        <row r="494">
          <cell r="W494" t="b">
            <v>0</v>
          </cell>
        </row>
        <row r="495">
          <cell r="W495" t="b">
            <v>0</v>
          </cell>
        </row>
        <row r="496">
          <cell r="W496" t="b">
            <v>0</v>
          </cell>
        </row>
        <row r="497">
          <cell r="W497" t="b">
            <v>0</v>
          </cell>
        </row>
        <row r="498">
          <cell r="W498" t="b">
            <v>0</v>
          </cell>
        </row>
        <row r="499">
          <cell r="W499" t="b">
            <v>0</v>
          </cell>
        </row>
        <row r="500">
          <cell r="W500" t="b">
            <v>0</v>
          </cell>
        </row>
        <row r="501">
          <cell r="W501" t="b">
            <v>0</v>
          </cell>
        </row>
        <row r="502">
          <cell r="W502" t="b">
            <v>0</v>
          </cell>
        </row>
        <row r="503">
          <cell r="W503" t="b">
            <v>0</v>
          </cell>
        </row>
        <row r="504">
          <cell r="W504" t="b">
            <v>0</v>
          </cell>
        </row>
        <row r="505">
          <cell r="W505" t="b">
            <v>0</v>
          </cell>
        </row>
        <row r="506">
          <cell r="W506" t="b">
            <v>0</v>
          </cell>
        </row>
        <row r="507">
          <cell r="W507" t="b">
            <v>0</v>
          </cell>
        </row>
        <row r="508">
          <cell r="W508" t="b">
            <v>0</v>
          </cell>
        </row>
        <row r="509">
          <cell r="W509" t="b">
            <v>0</v>
          </cell>
        </row>
        <row r="510">
          <cell r="W510" t="b">
            <v>0</v>
          </cell>
        </row>
        <row r="511">
          <cell r="W511" t="b">
            <v>0</v>
          </cell>
        </row>
        <row r="512">
          <cell r="W512" t="b">
            <v>0</v>
          </cell>
        </row>
        <row r="513">
          <cell r="W513" t="b">
            <v>0</v>
          </cell>
        </row>
        <row r="514">
          <cell r="W514" t="b">
            <v>0</v>
          </cell>
        </row>
        <row r="515">
          <cell r="W515" t="b">
            <v>0</v>
          </cell>
        </row>
        <row r="516">
          <cell r="W516" t="b">
            <v>0</v>
          </cell>
        </row>
        <row r="517">
          <cell r="W517" t="b">
            <v>0</v>
          </cell>
        </row>
        <row r="518">
          <cell r="W518" t="b">
            <v>0</v>
          </cell>
        </row>
        <row r="519">
          <cell r="W519" t="b">
            <v>0</v>
          </cell>
        </row>
        <row r="520">
          <cell r="W520" t="b">
            <v>0</v>
          </cell>
        </row>
        <row r="521">
          <cell r="W521" t="b">
            <v>0</v>
          </cell>
        </row>
        <row r="522">
          <cell r="W522" t="b">
            <v>0</v>
          </cell>
        </row>
        <row r="523">
          <cell r="W523" t="b">
            <v>0</v>
          </cell>
        </row>
        <row r="524">
          <cell r="W524" t="b">
            <v>0</v>
          </cell>
        </row>
        <row r="525">
          <cell r="W525" t="b">
            <v>0</v>
          </cell>
        </row>
        <row r="526">
          <cell r="W526" t="b">
            <v>0</v>
          </cell>
        </row>
        <row r="527">
          <cell r="W527" t="b">
            <v>0</v>
          </cell>
        </row>
        <row r="528">
          <cell r="W528" t="b">
            <v>0</v>
          </cell>
        </row>
        <row r="529">
          <cell r="W529" t="b">
            <v>0</v>
          </cell>
        </row>
        <row r="530">
          <cell r="W530" t="b">
            <v>0</v>
          </cell>
        </row>
        <row r="531">
          <cell r="W531" t="b">
            <v>0</v>
          </cell>
        </row>
        <row r="532">
          <cell r="W532" t="b">
            <v>0</v>
          </cell>
        </row>
        <row r="533">
          <cell r="W533" t="b">
            <v>0</v>
          </cell>
        </row>
        <row r="534">
          <cell r="W534" t="b">
            <v>0</v>
          </cell>
        </row>
        <row r="535">
          <cell r="W535" t="b">
            <v>0</v>
          </cell>
        </row>
        <row r="536">
          <cell r="W536" t="b">
            <v>0</v>
          </cell>
        </row>
        <row r="537">
          <cell r="W537" t="b">
            <v>0</v>
          </cell>
        </row>
        <row r="538">
          <cell r="W538" t="b">
            <v>0</v>
          </cell>
        </row>
        <row r="539">
          <cell r="W539" t="b">
            <v>0</v>
          </cell>
        </row>
        <row r="540">
          <cell r="W540" t="b">
            <v>0</v>
          </cell>
        </row>
        <row r="541">
          <cell r="W541" t="b">
            <v>0</v>
          </cell>
        </row>
        <row r="542">
          <cell r="W542" t="b">
            <v>0</v>
          </cell>
        </row>
        <row r="543">
          <cell r="W543" t="b">
            <v>0</v>
          </cell>
        </row>
        <row r="544">
          <cell r="W544" t="b">
            <v>0</v>
          </cell>
        </row>
        <row r="545">
          <cell r="W545" t="b">
            <v>0</v>
          </cell>
        </row>
        <row r="546">
          <cell r="W546" t="b">
            <v>0</v>
          </cell>
        </row>
        <row r="547">
          <cell r="W547" t="b">
            <v>0</v>
          </cell>
        </row>
        <row r="548">
          <cell r="W548" t="b">
            <v>0</v>
          </cell>
        </row>
        <row r="549">
          <cell r="W549" t="b">
            <v>0</v>
          </cell>
        </row>
        <row r="550">
          <cell r="W550" t="b">
            <v>0</v>
          </cell>
        </row>
        <row r="551">
          <cell r="W551" t="b">
            <v>0</v>
          </cell>
        </row>
        <row r="552">
          <cell r="W552" t="b">
            <v>0</v>
          </cell>
        </row>
        <row r="553">
          <cell r="W553" t="b">
            <v>0</v>
          </cell>
        </row>
        <row r="554">
          <cell r="W554" t="b">
            <v>0</v>
          </cell>
        </row>
        <row r="555">
          <cell r="W555" t="b">
            <v>0</v>
          </cell>
        </row>
        <row r="556">
          <cell r="W556" t="b">
            <v>0</v>
          </cell>
        </row>
        <row r="557">
          <cell r="W557" t="b">
            <v>0</v>
          </cell>
        </row>
        <row r="558">
          <cell r="W558" t="b">
            <v>0</v>
          </cell>
        </row>
        <row r="559">
          <cell r="W559" t="b">
            <v>0</v>
          </cell>
        </row>
        <row r="560">
          <cell r="W560" t="b">
            <v>0</v>
          </cell>
        </row>
        <row r="561">
          <cell r="W561" t="b">
            <v>0</v>
          </cell>
        </row>
        <row r="562">
          <cell r="W562" t="b">
            <v>0</v>
          </cell>
        </row>
        <row r="563">
          <cell r="W563" t="b">
            <v>0</v>
          </cell>
        </row>
        <row r="564">
          <cell r="W564" t="b">
            <v>0</v>
          </cell>
        </row>
        <row r="565">
          <cell r="W565" t="b">
            <v>0</v>
          </cell>
        </row>
        <row r="566">
          <cell r="W566" t="b">
            <v>0</v>
          </cell>
        </row>
        <row r="567">
          <cell r="W567" t="b">
            <v>0</v>
          </cell>
        </row>
        <row r="568">
          <cell r="W568" t="b">
            <v>0</v>
          </cell>
        </row>
        <row r="569">
          <cell r="W569" t="b">
            <v>0</v>
          </cell>
        </row>
        <row r="570">
          <cell r="W570" t="b">
            <v>0</v>
          </cell>
        </row>
        <row r="571">
          <cell r="W571" t="b">
            <v>0</v>
          </cell>
        </row>
        <row r="572">
          <cell r="W572" t="b">
            <v>0</v>
          </cell>
        </row>
        <row r="573">
          <cell r="W573" t="b">
            <v>0</v>
          </cell>
        </row>
        <row r="574">
          <cell r="W574" t="b">
            <v>0</v>
          </cell>
        </row>
        <row r="575">
          <cell r="W575" t="b">
            <v>0</v>
          </cell>
        </row>
        <row r="576">
          <cell r="W576" t="b">
            <v>0</v>
          </cell>
        </row>
        <row r="577">
          <cell r="W577" t="b">
            <v>0</v>
          </cell>
        </row>
        <row r="578">
          <cell r="W578" t="b">
            <v>0</v>
          </cell>
        </row>
        <row r="579">
          <cell r="W579" t="b">
            <v>0</v>
          </cell>
        </row>
        <row r="580">
          <cell r="W580" t="b">
            <v>0</v>
          </cell>
        </row>
        <row r="581">
          <cell r="W581" t="b">
            <v>0</v>
          </cell>
        </row>
        <row r="582">
          <cell r="W582" t="b">
            <v>0</v>
          </cell>
        </row>
        <row r="583">
          <cell r="W583" t="b">
            <v>0</v>
          </cell>
        </row>
        <row r="584">
          <cell r="W584" t="b">
            <v>0</v>
          </cell>
        </row>
        <row r="585">
          <cell r="W585" t="b">
            <v>0</v>
          </cell>
        </row>
        <row r="586">
          <cell r="W586" t="b">
            <v>0</v>
          </cell>
        </row>
        <row r="587">
          <cell r="W587" t="b">
            <v>0</v>
          </cell>
        </row>
        <row r="588">
          <cell r="W588" t="b">
            <v>0</v>
          </cell>
        </row>
        <row r="589">
          <cell r="W589" t="b">
            <v>0</v>
          </cell>
        </row>
        <row r="590">
          <cell r="W590" t="b">
            <v>0</v>
          </cell>
        </row>
        <row r="591">
          <cell r="W591" t="b">
            <v>0</v>
          </cell>
        </row>
        <row r="592">
          <cell r="W592" t="b">
            <v>0</v>
          </cell>
        </row>
        <row r="593">
          <cell r="W593" t="b">
            <v>0</v>
          </cell>
        </row>
        <row r="594">
          <cell r="W594" t="b">
            <v>0</v>
          </cell>
        </row>
        <row r="595">
          <cell r="W595" t="b">
            <v>0</v>
          </cell>
        </row>
        <row r="596">
          <cell r="W596" t="b">
            <v>0</v>
          </cell>
        </row>
        <row r="597">
          <cell r="W597" t="b">
            <v>0</v>
          </cell>
        </row>
        <row r="598">
          <cell r="W598" t="b">
            <v>0</v>
          </cell>
        </row>
        <row r="599">
          <cell r="W599" t="b">
            <v>0</v>
          </cell>
        </row>
        <row r="600">
          <cell r="W600" t="b">
            <v>0</v>
          </cell>
        </row>
        <row r="601">
          <cell r="W601" t="b">
            <v>0</v>
          </cell>
        </row>
        <row r="602">
          <cell r="W602" t="b">
            <v>0</v>
          </cell>
        </row>
        <row r="603">
          <cell r="W603" t="b">
            <v>0</v>
          </cell>
        </row>
        <row r="604">
          <cell r="W604" t="b">
            <v>0</v>
          </cell>
        </row>
        <row r="605">
          <cell r="W605" t="b">
            <v>0</v>
          </cell>
        </row>
        <row r="606">
          <cell r="W606" t="b">
            <v>0</v>
          </cell>
        </row>
        <row r="607">
          <cell r="W607" t="b">
            <v>0</v>
          </cell>
        </row>
        <row r="608">
          <cell r="W608" t="b">
            <v>0</v>
          </cell>
        </row>
        <row r="609">
          <cell r="W609" t="b">
            <v>0</v>
          </cell>
        </row>
        <row r="610">
          <cell r="W610" t="b">
            <v>0</v>
          </cell>
        </row>
        <row r="611">
          <cell r="W611" t="b">
            <v>0</v>
          </cell>
        </row>
        <row r="612">
          <cell r="W612" t="b">
            <v>0</v>
          </cell>
        </row>
        <row r="613">
          <cell r="W613" t="b">
            <v>0</v>
          </cell>
        </row>
        <row r="614">
          <cell r="W614" t="b">
            <v>0</v>
          </cell>
        </row>
        <row r="615">
          <cell r="W615" t="b">
            <v>0</v>
          </cell>
        </row>
        <row r="616">
          <cell r="W616" t="b">
            <v>0</v>
          </cell>
        </row>
        <row r="617">
          <cell r="W617" t="b">
            <v>0</v>
          </cell>
        </row>
        <row r="618">
          <cell r="W618" t="b">
            <v>0</v>
          </cell>
        </row>
        <row r="619">
          <cell r="W619" t="b">
            <v>0</v>
          </cell>
        </row>
        <row r="620">
          <cell r="W620" t="b">
            <v>0</v>
          </cell>
        </row>
        <row r="621">
          <cell r="W621" t="b">
            <v>0</v>
          </cell>
        </row>
        <row r="622">
          <cell r="W622" t="b">
            <v>0</v>
          </cell>
        </row>
        <row r="623">
          <cell r="W623" t="b">
            <v>0</v>
          </cell>
        </row>
        <row r="624">
          <cell r="W624" t="b">
            <v>0</v>
          </cell>
        </row>
        <row r="625">
          <cell r="W625" t="b">
            <v>0</v>
          </cell>
        </row>
        <row r="626">
          <cell r="W626" t="b">
            <v>0</v>
          </cell>
        </row>
        <row r="627">
          <cell r="W627" t="b">
            <v>0</v>
          </cell>
        </row>
        <row r="628">
          <cell r="W628" t="b">
            <v>0</v>
          </cell>
        </row>
        <row r="629">
          <cell r="W629" t="b">
            <v>0</v>
          </cell>
        </row>
        <row r="630">
          <cell r="W630" t="b">
            <v>0</v>
          </cell>
        </row>
        <row r="631">
          <cell r="W631" t="b">
            <v>0</v>
          </cell>
        </row>
        <row r="632">
          <cell r="W632" t="b">
            <v>0</v>
          </cell>
        </row>
        <row r="633">
          <cell r="W633" t="b">
            <v>0</v>
          </cell>
        </row>
        <row r="634">
          <cell r="W634" t="b">
            <v>0</v>
          </cell>
        </row>
        <row r="635">
          <cell r="W635" t="b">
            <v>0</v>
          </cell>
        </row>
        <row r="636">
          <cell r="W636" t="b">
            <v>0</v>
          </cell>
        </row>
        <row r="637">
          <cell r="W637" t="b">
            <v>0</v>
          </cell>
        </row>
        <row r="638">
          <cell r="W638" t="b">
            <v>0</v>
          </cell>
        </row>
        <row r="639">
          <cell r="W639" t="b">
            <v>0</v>
          </cell>
        </row>
        <row r="640">
          <cell r="W640" t="b">
            <v>0</v>
          </cell>
        </row>
        <row r="641">
          <cell r="W641" t="b">
            <v>0</v>
          </cell>
        </row>
        <row r="642">
          <cell r="W642" t="b">
            <v>0</v>
          </cell>
        </row>
        <row r="643">
          <cell r="W643" t="b">
            <v>0</v>
          </cell>
        </row>
        <row r="644">
          <cell r="W644" t="b">
            <v>0</v>
          </cell>
        </row>
        <row r="645">
          <cell r="W645" t="b">
            <v>0</v>
          </cell>
        </row>
        <row r="646">
          <cell r="W646" t="b">
            <v>0</v>
          </cell>
        </row>
        <row r="647">
          <cell r="W647" t="b">
            <v>0</v>
          </cell>
        </row>
        <row r="648">
          <cell r="W648" t="b">
            <v>0</v>
          </cell>
        </row>
        <row r="649">
          <cell r="W649" t="b">
            <v>0</v>
          </cell>
        </row>
        <row r="650">
          <cell r="W650" t="b">
            <v>0</v>
          </cell>
        </row>
        <row r="651">
          <cell r="W651" t="b">
            <v>0</v>
          </cell>
        </row>
        <row r="652">
          <cell r="W652" t="b">
            <v>0</v>
          </cell>
        </row>
        <row r="653">
          <cell r="W653" t="b">
            <v>0</v>
          </cell>
        </row>
        <row r="654">
          <cell r="W654" t="b">
            <v>0</v>
          </cell>
        </row>
        <row r="655">
          <cell r="W655" t="b">
            <v>0</v>
          </cell>
        </row>
        <row r="656">
          <cell r="W656" t="b">
            <v>0</v>
          </cell>
        </row>
        <row r="657">
          <cell r="W657" t="b">
            <v>0</v>
          </cell>
        </row>
        <row r="658">
          <cell r="W658" t="b">
            <v>0</v>
          </cell>
        </row>
        <row r="659">
          <cell r="W659" t="b">
            <v>0</v>
          </cell>
        </row>
        <row r="660">
          <cell r="W660" t="b">
            <v>0</v>
          </cell>
        </row>
        <row r="661">
          <cell r="W661" t="b">
            <v>0</v>
          </cell>
        </row>
        <row r="662">
          <cell r="W662" t="b">
            <v>0</v>
          </cell>
        </row>
        <row r="663">
          <cell r="W663" t="b">
            <v>0</v>
          </cell>
        </row>
        <row r="664">
          <cell r="W664" t="b">
            <v>0</v>
          </cell>
        </row>
        <row r="665">
          <cell r="W665" t="b">
            <v>0</v>
          </cell>
        </row>
        <row r="666">
          <cell r="W666" t="b">
            <v>0</v>
          </cell>
        </row>
        <row r="667">
          <cell r="W667" t="b">
            <v>0</v>
          </cell>
        </row>
        <row r="668">
          <cell r="W668" t="b">
            <v>0</v>
          </cell>
        </row>
        <row r="669">
          <cell r="W669" t="b">
            <v>0</v>
          </cell>
        </row>
        <row r="670">
          <cell r="W670" t="b">
            <v>0</v>
          </cell>
        </row>
        <row r="671">
          <cell r="W671" t="b">
            <v>0</v>
          </cell>
        </row>
        <row r="672">
          <cell r="W672" t="b">
            <v>0</v>
          </cell>
        </row>
        <row r="673">
          <cell r="W673" t="b">
            <v>0</v>
          </cell>
        </row>
        <row r="674">
          <cell r="W674" t="b">
            <v>0</v>
          </cell>
        </row>
        <row r="675">
          <cell r="W675" t="b">
            <v>0</v>
          </cell>
        </row>
        <row r="676">
          <cell r="W676" t="b">
            <v>0</v>
          </cell>
        </row>
        <row r="677">
          <cell r="W677" t="b">
            <v>0</v>
          </cell>
        </row>
        <row r="678">
          <cell r="W678" t="b">
            <v>0</v>
          </cell>
        </row>
        <row r="679">
          <cell r="W679" t="b">
            <v>0</v>
          </cell>
        </row>
        <row r="680">
          <cell r="W680" t="b">
            <v>0</v>
          </cell>
        </row>
        <row r="681">
          <cell r="W681" t="b">
            <v>0</v>
          </cell>
        </row>
        <row r="682">
          <cell r="W682" t="b">
            <v>0</v>
          </cell>
        </row>
        <row r="683">
          <cell r="W683" t="b">
            <v>0</v>
          </cell>
        </row>
        <row r="684">
          <cell r="W684" t="b">
            <v>0</v>
          </cell>
        </row>
        <row r="685">
          <cell r="W685" t="b">
            <v>0</v>
          </cell>
        </row>
        <row r="686">
          <cell r="W686" t="b">
            <v>0</v>
          </cell>
        </row>
        <row r="687">
          <cell r="W687" t="b">
            <v>0</v>
          </cell>
        </row>
        <row r="688">
          <cell r="W688" t="b">
            <v>0</v>
          </cell>
        </row>
        <row r="689">
          <cell r="W689" t="b">
            <v>0</v>
          </cell>
        </row>
        <row r="690">
          <cell r="W690" t="b">
            <v>0</v>
          </cell>
        </row>
        <row r="691">
          <cell r="W691" t="b">
            <v>0</v>
          </cell>
        </row>
        <row r="692">
          <cell r="W692" t="b">
            <v>0</v>
          </cell>
        </row>
        <row r="693">
          <cell r="W693" t="b">
            <v>0</v>
          </cell>
        </row>
        <row r="694">
          <cell r="W694" t="b">
            <v>0</v>
          </cell>
        </row>
        <row r="695">
          <cell r="W695" t="b">
            <v>0</v>
          </cell>
        </row>
        <row r="696">
          <cell r="W696" t="b">
            <v>0</v>
          </cell>
        </row>
        <row r="697">
          <cell r="W697" t="b">
            <v>0</v>
          </cell>
        </row>
        <row r="698">
          <cell r="W698" t="b">
            <v>0</v>
          </cell>
        </row>
        <row r="699">
          <cell r="W699" t="b">
            <v>0</v>
          </cell>
        </row>
        <row r="700">
          <cell r="W700" t="b">
            <v>0</v>
          </cell>
        </row>
        <row r="701">
          <cell r="W701" t="b">
            <v>0</v>
          </cell>
        </row>
        <row r="702">
          <cell r="W702" t="b">
            <v>0</v>
          </cell>
        </row>
        <row r="703">
          <cell r="W703" t="b">
            <v>0</v>
          </cell>
        </row>
        <row r="704">
          <cell r="W704" t="b">
            <v>0</v>
          </cell>
        </row>
        <row r="705">
          <cell r="W705" t="b">
            <v>0</v>
          </cell>
        </row>
        <row r="706">
          <cell r="W706" t="b">
            <v>0</v>
          </cell>
        </row>
        <row r="707">
          <cell r="W707" t="b">
            <v>0</v>
          </cell>
        </row>
        <row r="708">
          <cell r="W708" t="b">
            <v>0</v>
          </cell>
        </row>
        <row r="709">
          <cell r="W709" t="b">
            <v>0</v>
          </cell>
        </row>
        <row r="710">
          <cell r="W710" t="b">
            <v>0</v>
          </cell>
        </row>
        <row r="711">
          <cell r="W711" t="b">
            <v>0</v>
          </cell>
        </row>
        <row r="712">
          <cell r="W712" t="b">
            <v>0</v>
          </cell>
        </row>
        <row r="713">
          <cell r="W713" t="b">
            <v>0</v>
          </cell>
        </row>
        <row r="714">
          <cell r="W714" t="b">
            <v>0</v>
          </cell>
        </row>
        <row r="715">
          <cell r="W715" t="b">
            <v>0</v>
          </cell>
        </row>
        <row r="716">
          <cell r="W716" t="b">
            <v>0</v>
          </cell>
        </row>
        <row r="717">
          <cell r="W717" t="b">
            <v>0</v>
          </cell>
        </row>
        <row r="718">
          <cell r="W718" t="b">
            <v>0</v>
          </cell>
        </row>
        <row r="719">
          <cell r="W719" t="b">
            <v>0</v>
          </cell>
        </row>
        <row r="720">
          <cell r="W720" t="b">
            <v>0</v>
          </cell>
        </row>
        <row r="721">
          <cell r="W721" t="b">
            <v>0</v>
          </cell>
        </row>
        <row r="722">
          <cell r="W722" t="b">
            <v>0</v>
          </cell>
        </row>
        <row r="723">
          <cell r="W723" t="b">
            <v>0</v>
          </cell>
        </row>
        <row r="724">
          <cell r="W724" t="b">
            <v>0</v>
          </cell>
        </row>
        <row r="725">
          <cell r="W725" t="b">
            <v>0</v>
          </cell>
        </row>
        <row r="726">
          <cell r="W726" t="b">
            <v>0</v>
          </cell>
        </row>
        <row r="727">
          <cell r="W727" t="b">
            <v>0</v>
          </cell>
        </row>
        <row r="728">
          <cell r="W728" t="b">
            <v>0</v>
          </cell>
        </row>
        <row r="729">
          <cell r="W729" t="b">
            <v>0</v>
          </cell>
        </row>
        <row r="730">
          <cell r="W730" t="b">
            <v>0</v>
          </cell>
        </row>
        <row r="731">
          <cell r="W731" t="b">
            <v>0</v>
          </cell>
        </row>
        <row r="732">
          <cell r="W732" t="b">
            <v>0</v>
          </cell>
        </row>
        <row r="733">
          <cell r="W733" t="b">
            <v>0</v>
          </cell>
        </row>
        <row r="734">
          <cell r="W734" t="b">
            <v>0</v>
          </cell>
        </row>
        <row r="735">
          <cell r="W735" t="b">
            <v>0</v>
          </cell>
        </row>
        <row r="736">
          <cell r="W736" t="b">
            <v>0</v>
          </cell>
        </row>
        <row r="737">
          <cell r="W737" t="b">
            <v>0</v>
          </cell>
        </row>
        <row r="738">
          <cell r="W738" t="b">
            <v>0</v>
          </cell>
        </row>
        <row r="739">
          <cell r="W739" t="b">
            <v>0</v>
          </cell>
        </row>
        <row r="740">
          <cell r="W740" t="b">
            <v>0</v>
          </cell>
        </row>
        <row r="741">
          <cell r="W741" t="b">
            <v>0</v>
          </cell>
        </row>
        <row r="742">
          <cell r="W742" t="b">
            <v>0</v>
          </cell>
        </row>
        <row r="743">
          <cell r="W743" t="b">
            <v>0</v>
          </cell>
        </row>
        <row r="744">
          <cell r="W744" t="b">
            <v>0</v>
          </cell>
        </row>
        <row r="745">
          <cell r="W745" t="b">
            <v>0</v>
          </cell>
        </row>
        <row r="746">
          <cell r="W746" t="b">
            <v>0</v>
          </cell>
        </row>
        <row r="747">
          <cell r="W747" t="b">
            <v>0</v>
          </cell>
        </row>
        <row r="748">
          <cell r="W748" t="b">
            <v>0</v>
          </cell>
        </row>
        <row r="749">
          <cell r="W749" t="b">
            <v>0</v>
          </cell>
        </row>
        <row r="750">
          <cell r="W750" t="b">
            <v>0</v>
          </cell>
        </row>
        <row r="751">
          <cell r="W751" t="b">
            <v>0</v>
          </cell>
        </row>
        <row r="752">
          <cell r="W752" t="b">
            <v>0</v>
          </cell>
        </row>
        <row r="753">
          <cell r="W753" t="b">
            <v>0</v>
          </cell>
        </row>
        <row r="754">
          <cell r="W754" t="b">
            <v>0</v>
          </cell>
        </row>
        <row r="755">
          <cell r="W755" t="b">
            <v>0</v>
          </cell>
        </row>
        <row r="756">
          <cell r="W756" t="b">
            <v>0</v>
          </cell>
        </row>
        <row r="757">
          <cell r="W757" t="b">
            <v>0</v>
          </cell>
        </row>
        <row r="758">
          <cell r="W758" t="b">
            <v>0</v>
          </cell>
        </row>
        <row r="759">
          <cell r="W759" t="b">
            <v>0</v>
          </cell>
        </row>
        <row r="760">
          <cell r="W760" t="b">
            <v>0</v>
          </cell>
        </row>
        <row r="761">
          <cell r="W761" t="b">
            <v>0</v>
          </cell>
        </row>
        <row r="762">
          <cell r="W762" t="b">
            <v>0</v>
          </cell>
        </row>
        <row r="763">
          <cell r="W763" t="b">
            <v>0</v>
          </cell>
        </row>
        <row r="764">
          <cell r="W764" t="b">
            <v>0</v>
          </cell>
        </row>
        <row r="765">
          <cell r="W765" t="b">
            <v>0</v>
          </cell>
        </row>
        <row r="766">
          <cell r="W766" t="b">
            <v>0</v>
          </cell>
        </row>
        <row r="767">
          <cell r="W767" t="b">
            <v>0</v>
          </cell>
        </row>
        <row r="768">
          <cell r="W768" t="b">
            <v>0</v>
          </cell>
        </row>
        <row r="769">
          <cell r="W769" t="b">
            <v>0</v>
          </cell>
        </row>
        <row r="770">
          <cell r="W770" t="b">
            <v>0</v>
          </cell>
        </row>
        <row r="771">
          <cell r="W771" t="b">
            <v>0</v>
          </cell>
        </row>
        <row r="772">
          <cell r="W772" t="b">
            <v>0</v>
          </cell>
        </row>
        <row r="773">
          <cell r="W773" t="b">
            <v>0</v>
          </cell>
        </row>
        <row r="774">
          <cell r="W774" t="b">
            <v>0</v>
          </cell>
        </row>
        <row r="775">
          <cell r="W775" t="b">
            <v>0</v>
          </cell>
        </row>
        <row r="776">
          <cell r="W776" t="b">
            <v>0</v>
          </cell>
        </row>
        <row r="777">
          <cell r="W777" t="b">
            <v>0</v>
          </cell>
        </row>
        <row r="778">
          <cell r="W778" t="b">
            <v>0</v>
          </cell>
        </row>
        <row r="779">
          <cell r="W779" t="b">
            <v>0</v>
          </cell>
        </row>
        <row r="780">
          <cell r="W780" t="b">
            <v>0</v>
          </cell>
        </row>
        <row r="781">
          <cell r="W781" t="b">
            <v>0</v>
          </cell>
        </row>
        <row r="782">
          <cell r="W782" t="b">
            <v>0</v>
          </cell>
        </row>
        <row r="783">
          <cell r="W783" t="b">
            <v>0</v>
          </cell>
        </row>
        <row r="784">
          <cell r="W784" t="b">
            <v>0</v>
          </cell>
        </row>
        <row r="785">
          <cell r="W785" t="b">
            <v>0</v>
          </cell>
        </row>
        <row r="786">
          <cell r="W786" t="b">
            <v>0</v>
          </cell>
        </row>
        <row r="787">
          <cell r="W787" t="b">
            <v>0</v>
          </cell>
        </row>
        <row r="788">
          <cell r="W788" t="b">
            <v>0</v>
          </cell>
        </row>
        <row r="789">
          <cell r="W789" t="b">
            <v>0</v>
          </cell>
        </row>
        <row r="790">
          <cell r="W790" t="b">
            <v>0</v>
          </cell>
        </row>
        <row r="791">
          <cell r="W791" t="b">
            <v>0</v>
          </cell>
        </row>
        <row r="792">
          <cell r="W792" t="b">
            <v>0</v>
          </cell>
        </row>
        <row r="793">
          <cell r="W793" t="b">
            <v>0</v>
          </cell>
        </row>
        <row r="794">
          <cell r="W794" t="b">
            <v>0</v>
          </cell>
        </row>
        <row r="795">
          <cell r="W795" t="b">
            <v>0</v>
          </cell>
        </row>
        <row r="796">
          <cell r="W796" t="b">
            <v>0</v>
          </cell>
        </row>
        <row r="797">
          <cell r="W797" t="b">
            <v>0</v>
          </cell>
        </row>
        <row r="798">
          <cell r="W798" t="b">
            <v>0</v>
          </cell>
        </row>
        <row r="799">
          <cell r="W799" t="b">
            <v>0</v>
          </cell>
        </row>
        <row r="800">
          <cell r="W800" t="b">
            <v>0</v>
          </cell>
        </row>
        <row r="801">
          <cell r="W801" t="b">
            <v>0</v>
          </cell>
        </row>
        <row r="802">
          <cell r="W802" t="b">
            <v>0</v>
          </cell>
        </row>
        <row r="803">
          <cell r="W803" t="b">
            <v>0</v>
          </cell>
        </row>
        <row r="804">
          <cell r="W804" t="b">
            <v>0</v>
          </cell>
        </row>
        <row r="805">
          <cell r="W805" t="b">
            <v>0</v>
          </cell>
        </row>
        <row r="806">
          <cell r="W806" t="b">
            <v>0</v>
          </cell>
        </row>
        <row r="807">
          <cell r="W807" t="b">
            <v>0</v>
          </cell>
        </row>
        <row r="808">
          <cell r="W808" t="b">
            <v>0</v>
          </cell>
        </row>
        <row r="809">
          <cell r="W809" t="b">
            <v>0</v>
          </cell>
        </row>
        <row r="810">
          <cell r="W810" t="b">
            <v>0</v>
          </cell>
        </row>
        <row r="811">
          <cell r="W811" t="b">
            <v>0</v>
          </cell>
        </row>
        <row r="812">
          <cell r="W812" t="b">
            <v>0</v>
          </cell>
        </row>
        <row r="813">
          <cell r="W813" t="b">
            <v>0</v>
          </cell>
        </row>
        <row r="814">
          <cell r="W814" t="b">
            <v>0</v>
          </cell>
        </row>
        <row r="815">
          <cell r="W815" t="b">
            <v>0</v>
          </cell>
        </row>
        <row r="816">
          <cell r="W816" t="b">
            <v>0</v>
          </cell>
        </row>
        <row r="817">
          <cell r="W817" t="b">
            <v>0</v>
          </cell>
        </row>
        <row r="818">
          <cell r="W818" t="b">
            <v>0</v>
          </cell>
        </row>
        <row r="819">
          <cell r="W819" t="b">
            <v>0</v>
          </cell>
        </row>
        <row r="820">
          <cell r="W820" t="b">
            <v>0</v>
          </cell>
        </row>
        <row r="821">
          <cell r="W821" t="b">
            <v>0</v>
          </cell>
        </row>
        <row r="822">
          <cell r="W822" t="b">
            <v>0</v>
          </cell>
        </row>
        <row r="823">
          <cell r="W823" t="b">
            <v>0</v>
          </cell>
        </row>
        <row r="824">
          <cell r="W824" t="b">
            <v>0</v>
          </cell>
        </row>
        <row r="825">
          <cell r="W825" t="b">
            <v>0</v>
          </cell>
        </row>
        <row r="826">
          <cell r="W826" t="b">
            <v>0</v>
          </cell>
        </row>
        <row r="827">
          <cell r="W827" t="b">
            <v>0</v>
          </cell>
        </row>
        <row r="828">
          <cell r="W828" t="b">
            <v>0</v>
          </cell>
        </row>
        <row r="829">
          <cell r="W829" t="b">
            <v>0</v>
          </cell>
        </row>
        <row r="830">
          <cell r="W830" t="b">
            <v>0</v>
          </cell>
        </row>
        <row r="831">
          <cell r="W831" t="b">
            <v>0</v>
          </cell>
        </row>
        <row r="832">
          <cell r="W832" t="b">
            <v>0</v>
          </cell>
        </row>
        <row r="833">
          <cell r="W833" t="b">
            <v>0</v>
          </cell>
        </row>
        <row r="834">
          <cell r="W834" t="b">
            <v>0</v>
          </cell>
        </row>
        <row r="835">
          <cell r="W835" t="b">
            <v>0</v>
          </cell>
        </row>
        <row r="836">
          <cell r="W836" t="b">
            <v>0</v>
          </cell>
        </row>
        <row r="837">
          <cell r="W837" t="b">
            <v>0</v>
          </cell>
        </row>
        <row r="838">
          <cell r="W838" t="b">
            <v>0</v>
          </cell>
        </row>
        <row r="839">
          <cell r="W839" t="b">
            <v>0</v>
          </cell>
        </row>
        <row r="840">
          <cell r="W840" t="b">
            <v>0</v>
          </cell>
        </row>
        <row r="841">
          <cell r="W841" t="b">
            <v>0</v>
          </cell>
        </row>
        <row r="842">
          <cell r="W842" t="b">
            <v>0</v>
          </cell>
        </row>
        <row r="843">
          <cell r="W843" t="b">
            <v>0</v>
          </cell>
        </row>
        <row r="844">
          <cell r="W844" t="b">
            <v>0</v>
          </cell>
        </row>
        <row r="845">
          <cell r="W845" t="b">
            <v>0</v>
          </cell>
        </row>
        <row r="846">
          <cell r="W846" t="b">
            <v>0</v>
          </cell>
        </row>
        <row r="847">
          <cell r="W847" t="b">
            <v>0</v>
          </cell>
        </row>
        <row r="848">
          <cell r="W848" t="b">
            <v>0</v>
          </cell>
        </row>
        <row r="849">
          <cell r="W849" t="b">
            <v>0</v>
          </cell>
        </row>
        <row r="850">
          <cell r="W850" t="b">
            <v>0</v>
          </cell>
        </row>
        <row r="851">
          <cell r="W851" t="b">
            <v>0</v>
          </cell>
        </row>
        <row r="852">
          <cell r="W852" t="b">
            <v>0</v>
          </cell>
        </row>
        <row r="853">
          <cell r="W853" t="b">
            <v>0</v>
          </cell>
        </row>
        <row r="854">
          <cell r="W854" t="b">
            <v>0</v>
          </cell>
        </row>
        <row r="855">
          <cell r="W855" t="b">
            <v>0</v>
          </cell>
        </row>
        <row r="856">
          <cell r="W856" t="b">
            <v>0</v>
          </cell>
        </row>
        <row r="857">
          <cell r="W857" t="b">
            <v>0</v>
          </cell>
        </row>
        <row r="858">
          <cell r="W858" t="b">
            <v>0</v>
          </cell>
        </row>
        <row r="859">
          <cell r="W859" t="b">
            <v>0</v>
          </cell>
        </row>
        <row r="860">
          <cell r="W860" t="b">
            <v>0</v>
          </cell>
        </row>
        <row r="861">
          <cell r="W861" t="b">
            <v>0</v>
          </cell>
        </row>
        <row r="862">
          <cell r="W862" t="b">
            <v>0</v>
          </cell>
        </row>
        <row r="863">
          <cell r="W863" t="b">
            <v>0</v>
          </cell>
        </row>
        <row r="864">
          <cell r="W864" t="b">
            <v>0</v>
          </cell>
        </row>
        <row r="865">
          <cell r="W865" t="b">
            <v>0</v>
          </cell>
        </row>
        <row r="866">
          <cell r="W866" t="b">
            <v>0</v>
          </cell>
        </row>
        <row r="867">
          <cell r="W867" t="b">
            <v>0</v>
          </cell>
        </row>
        <row r="868">
          <cell r="W868" t="b">
            <v>0</v>
          </cell>
        </row>
        <row r="869">
          <cell r="W869" t="b">
            <v>0</v>
          </cell>
        </row>
        <row r="870">
          <cell r="W870" t="b">
            <v>0</v>
          </cell>
        </row>
        <row r="871">
          <cell r="W871" t="b">
            <v>0</v>
          </cell>
        </row>
        <row r="872">
          <cell r="W872" t="b">
            <v>0</v>
          </cell>
        </row>
        <row r="873">
          <cell r="W873" t="b">
            <v>0</v>
          </cell>
        </row>
        <row r="874">
          <cell r="W874" t="b">
            <v>0</v>
          </cell>
        </row>
        <row r="875">
          <cell r="W875" t="b">
            <v>0</v>
          </cell>
        </row>
        <row r="876">
          <cell r="W876" t="b">
            <v>0</v>
          </cell>
        </row>
        <row r="877">
          <cell r="W877" t="b">
            <v>0</v>
          </cell>
        </row>
        <row r="878">
          <cell r="W878" t="b">
            <v>0</v>
          </cell>
        </row>
        <row r="879">
          <cell r="W879" t="b">
            <v>0</v>
          </cell>
        </row>
        <row r="880">
          <cell r="W880" t="b">
            <v>0</v>
          </cell>
        </row>
        <row r="881">
          <cell r="W881" t="b">
            <v>0</v>
          </cell>
        </row>
        <row r="882">
          <cell r="W882" t="b">
            <v>0</v>
          </cell>
        </row>
        <row r="883">
          <cell r="W883" t="b">
            <v>0</v>
          </cell>
        </row>
        <row r="884">
          <cell r="W884" t="b">
            <v>0</v>
          </cell>
        </row>
        <row r="885">
          <cell r="W885" t="b">
            <v>0</v>
          </cell>
        </row>
        <row r="886">
          <cell r="W886" t="b">
            <v>0</v>
          </cell>
        </row>
        <row r="887">
          <cell r="W887" t="b">
            <v>0</v>
          </cell>
        </row>
        <row r="888">
          <cell r="W888" t="b">
            <v>0</v>
          </cell>
        </row>
        <row r="889">
          <cell r="W889" t="b">
            <v>0</v>
          </cell>
        </row>
        <row r="890">
          <cell r="W890" t="b">
            <v>0</v>
          </cell>
        </row>
        <row r="891">
          <cell r="W891" t="b">
            <v>0</v>
          </cell>
        </row>
        <row r="892">
          <cell r="W892" t="b">
            <v>0</v>
          </cell>
        </row>
        <row r="893">
          <cell r="W893" t="b">
            <v>0</v>
          </cell>
        </row>
        <row r="894">
          <cell r="W894" t="b">
            <v>0</v>
          </cell>
        </row>
        <row r="895">
          <cell r="W895" t="b">
            <v>0</v>
          </cell>
        </row>
        <row r="896">
          <cell r="W896" t="b">
            <v>0</v>
          </cell>
        </row>
        <row r="897">
          <cell r="W897" t="b">
            <v>0</v>
          </cell>
        </row>
        <row r="898">
          <cell r="W898" t="b">
            <v>0</v>
          </cell>
        </row>
        <row r="899">
          <cell r="W899" t="b">
            <v>0</v>
          </cell>
        </row>
        <row r="900">
          <cell r="W900" t="b">
            <v>0</v>
          </cell>
        </row>
        <row r="901">
          <cell r="W901" t="b">
            <v>0</v>
          </cell>
        </row>
        <row r="902">
          <cell r="W902" t="b">
            <v>0</v>
          </cell>
        </row>
        <row r="903">
          <cell r="W903" t="b">
            <v>0</v>
          </cell>
        </row>
        <row r="904">
          <cell r="W904" t="b">
            <v>0</v>
          </cell>
        </row>
        <row r="905">
          <cell r="W905" t="b">
            <v>0</v>
          </cell>
        </row>
        <row r="906">
          <cell r="W906" t="b">
            <v>0</v>
          </cell>
        </row>
        <row r="907">
          <cell r="W907" t="b">
            <v>0</v>
          </cell>
        </row>
        <row r="908">
          <cell r="W908" t="b">
            <v>0</v>
          </cell>
        </row>
        <row r="909">
          <cell r="W909" t="b">
            <v>0</v>
          </cell>
        </row>
        <row r="910">
          <cell r="W910" t="b">
            <v>0</v>
          </cell>
        </row>
        <row r="911">
          <cell r="W911" t="b">
            <v>0</v>
          </cell>
        </row>
        <row r="912">
          <cell r="W912" t="b">
            <v>0</v>
          </cell>
        </row>
        <row r="913">
          <cell r="W913" t="b">
            <v>0</v>
          </cell>
        </row>
        <row r="914">
          <cell r="W914" t="b">
            <v>0</v>
          </cell>
        </row>
        <row r="915">
          <cell r="W915" t="b">
            <v>0</v>
          </cell>
        </row>
        <row r="916">
          <cell r="W916" t="b">
            <v>0</v>
          </cell>
        </row>
        <row r="917">
          <cell r="W917" t="b">
            <v>0</v>
          </cell>
        </row>
        <row r="918">
          <cell r="W918" t="b">
            <v>0</v>
          </cell>
        </row>
        <row r="919">
          <cell r="W919" t="b">
            <v>0</v>
          </cell>
        </row>
        <row r="920">
          <cell r="W920" t="b">
            <v>0</v>
          </cell>
        </row>
        <row r="921">
          <cell r="W921" t="b">
            <v>0</v>
          </cell>
        </row>
        <row r="922">
          <cell r="W922" t="b">
            <v>0</v>
          </cell>
        </row>
        <row r="923">
          <cell r="W923" t="b">
            <v>0</v>
          </cell>
        </row>
        <row r="924">
          <cell r="W924" t="b">
            <v>0</v>
          </cell>
        </row>
        <row r="925">
          <cell r="W925" t="b">
            <v>0</v>
          </cell>
        </row>
        <row r="926">
          <cell r="W926" t="b">
            <v>0</v>
          </cell>
        </row>
        <row r="927">
          <cell r="W927" t="b">
            <v>0</v>
          </cell>
        </row>
        <row r="928">
          <cell r="W928" t="b">
            <v>0</v>
          </cell>
        </row>
        <row r="929">
          <cell r="W929" t="b">
            <v>0</v>
          </cell>
        </row>
        <row r="930">
          <cell r="W930" t="b">
            <v>0</v>
          </cell>
        </row>
        <row r="931">
          <cell r="W931" t="b">
            <v>0</v>
          </cell>
        </row>
        <row r="932">
          <cell r="W932" t="b">
            <v>0</v>
          </cell>
        </row>
        <row r="933">
          <cell r="W933" t="b">
            <v>0</v>
          </cell>
        </row>
        <row r="934">
          <cell r="W934" t="b">
            <v>0</v>
          </cell>
        </row>
        <row r="935">
          <cell r="W935" t="b">
            <v>0</v>
          </cell>
        </row>
        <row r="936">
          <cell r="W936" t="b">
            <v>0</v>
          </cell>
        </row>
        <row r="937">
          <cell r="W937" t="b">
            <v>0</v>
          </cell>
        </row>
        <row r="938">
          <cell r="W938" t="b">
            <v>0</v>
          </cell>
        </row>
        <row r="939">
          <cell r="W939" t="b">
            <v>0</v>
          </cell>
        </row>
        <row r="940">
          <cell r="W940" t="b">
            <v>0</v>
          </cell>
        </row>
        <row r="941">
          <cell r="W941" t="b">
            <v>0</v>
          </cell>
        </row>
        <row r="942">
          <cell r="W942" t="b">
            <v>0</v>
          </cell>
        </row>
        <row r="943">
          <cell r="W943" t="b">
            <v>0</v>
          </cell>
        </row>
        <row r="944">
          <cell r="W944" t="b">
            <v>0</v>
          </cell>
        </row>
        <row r="945">
          <cell r="W945" t="b">
            <v>0</v>
          </cell>
        </row>
        <row r="946">
          <cell r="W946" t="b">
            <v>0</v>
          </cell>
        </row>
        <row r="947">
          <cell r="W947" t="b">
            <v>0</v>
          </cell>
        </row>
        <row r="948">
          <cell r="W948" t="b">
            <v>0</v>
          </cell>
        </row>
        <row r="949">
          <cell r="W949" t="b">
            <v>0</v>
          </cell>
        </row>
        <row r="950">
          <cell r="W950" t="b">
            <v>0</v>
          </cell>
        </row>
        <row r="951">
          <cell r="W951" t="b">
            <v>0</v>
          </cell>
        </row>
        <row r="952">
          <cell r="W952" t="b">
            <v>0</v>
          </cell>
        </row>
        <row r="953">
          <cell r="W953" t="b">
            <v>0</v>
          </cell>
        </row>
        <row r="954">
          <cell r="W954" t="b">
            <v>0</v>
          </cell>
        </row>
        <row r="955">
          <cell r="W955" t="b">
            <v>0</v>
          </cell>
        </row>
        <row r="956">
          <cell r="W956" t="b">
            <v>0</v>
          </cell>
        </row>
        <row r="957">
          <cell r="W957" t="b">
            <v>0</v>
          </cell>
        </row>
        <row r="958">
          <cell r="W958" t="b">
            <v>0</v>
          </cell>
        </row>
        <row r="959">
          <cell r="W959" t="b">
            <v>0</v>
          </cell>
        </row>
        <row r="960">
          <cell r="W960" t="b">
            <v>0</v>
          </cell>
        </row>
        <row r="961">
          <cell r="W961" t="b">
            <v>0</v>
          </cell>
        </row>
        <row r="962">
          <cell r="W962" t="b">
            <v>0</v>
          </cell>
        </row>
        <row r="963">
          <cell r="W963" t="b">
            <v>0</v>
          </cell>
        </row>
        <row r="964">
          <cell r="W964" t="b">
            <v>0</v>
          </cell>
        </row>
        <row r="965">
          <cell r="W965" t="b">
            <v>0</v>
          </cell>
        </row>
        <row r="966">
          <cell r="W966" t="b">
            <v>0</v>
          </cell>
        </row>
        <row r="967">
          <cell r="W967" t="b">
            <v>0</v>
          </cell>
        </row>
        <row r="968">
          <cell r="W968" t="b">
            <v>0</v>
          </cell>
        </row>
        <row r="969">
          <cell r="W969" t="b">
            <v>0</v>
          </cell>
        </row>
        <row r="970">
          <cell r="W970" t="b">
            <v>0</v>
          </cell>
        </row>
        <row r="971">
          <cell r="W971" t="b">
            <v>0</v>
          </cell>
        </row>
        <row r="972">
          <cell r="W972" t="b">
            <v>0</v>
          </cell>
        </row>
        <row r="973">
          <cell r="W973" t="b">
            <v>0</v>
          </cell>
        </row>
        <row r="974">
          <cell r="W974" t="b">
            <v>0</v>
          </cell>
        </row>
        <row r="975">
          <cell r="W975" t="b">
            <v>0</v>
          </cell>
        </row>
        <row r="976">
          <cell r="W976" t="b">
            <v>0</v>
          </cell>
        </row>
        <row r="977">
          <cell r="W977" t="b">
            <v>0</v>
          </cell>
        </row>
        <row r="978">
          <cell r="W978" t="b">
            <v>0</v>
          </cell>
        </row>
        <row r="979">
          <cell r="W979" t="b">
            <v>0</v>
          </cell>
        </row>
        <row r="980">
          <cell r="W980" t="b">
            <v>0</v>
          </cell>
        </row>
        <row r="981">
          <cell r="W981" t="b">
            <v>0</v>
          </cell>
        </row>
        <row r="982">
          <cell r="W982" t="b">
            <v>0</v>
          </cell>
        </row>
        <row r="983">
          <cell r="W983" t="b">
            <v>0</v>
          </cell>
        </row>
        <row r="984">
          <cell r="W984" t="b">
            <v>0</v>
          </cell>
        </row>
        <row r="985">
          <cell r="W985" t="b">
            <v>0</v>
          </cell>
        </row>
        <row r="986">
          <cell r="W986" t="b">
            <v>0</v>
          </cell>
        </row>
        <row r="987">
          <cell r="W987" t="b">
            <v>0</v>
          </cell>
        </row>
        <row r="988">
          <cell r="W988" t="b">
            <v>0</v>
          </cell>
        </row>
        <row r="989">
          <cell r="W989" t="b">
            <v>0</v>
          </cell>
        </row>
        <row r="990">
          <cell r="W990" t="b">
            <v>0</v>
          </cell>
        </row>
        <row r="991">
          <cell r="W991" t="b">
            <v>0</v>
          </cell>
        </row>
        <row r="992">
          <cell r="W992" t="b">
            <v>0</v>
          </cell>
        </row>
        <row r="993">
          <cell r="W993" t="b">
            <v>0</v>
          </cell>
        </row>
        <row r="994">
          <cell r="W994" t="b">
            <v>0</v>
          </cell>
        </row>
        <row r="995">
          <cell r="W995" t="b">
            <v>0</v>
          </cell>
        </row>
        <row r="996">
          <cell r="W996" t="b">
            <v>0</v>
          </cell>
        </row>
        <row r="997">
          <cell r="W997" t="b">
            <v>0</v>
          </cell>
        </row>
        <row r="998">
          <cell r="W998" t="b">
            <v>0</v>
          </cell>
        </row>
        <row r="999">
          <cell r="W999" t="b">
            <v>0</v>
          </cell>
        </row>
        <row r="1000">
          <cell r="W1000" t="b">
            <v>0</v>
          </cell>
        </row>
        <row r="1001">
          <cell r="W1001" t="b">
            <v>0</v>
          </cell>
        </row>
        <row r="1002">
          <cell r="W1002" t="b">
            <v>0</v>
          </cell>
        </row>
        <row r="1003">
          <cell r="W1003" t="b">
            <v>0</v>
          </cell>
        </row>
        <row r="1004">
          <cell r="W1004" t="b">
            <v>0</v>
          </cell>
        </row>
        <row r="1005">
          <cell r="W1005" t="b">
            <v>0</v>
          </cell>
        </row>
        <row r="1006">
          <cell r="W1006" t="b">
            <v>0</v>
          </cell>
        </row>
        <row r="1007">
          <cell r="W1007" t="b">
            <v>0</v>
          </cell>
        </row>
        <row r="1008">
          <cell r="W1008" t="b">
            <v>0</v>
          </cell>
        </row>
        <row r="1009">
          <cell r="W1009" t="b">
            <v>0</v>
          </cell>
        </row>
        <row r="1010">
          <cell r="W1010" t="b">
            <v>0</v>
          </cell>
        </row>
        <row r="1011">
          <cell r="W1011" t="b">
            <v>0</v>
          </cell>
        </row>
        <row r="1012">
          <cell r="W1012" t="b">
            <v>0</v>
          </cell>
        </row>
        <row r="1013">
          <cell r="W1013" t="b">
            <v>0</v>
          </cell>
        </row>
        <row r="1014">
          <cell r="W1014" t="b">
            <v>0</v>
          </cell>
        </row>
        <row r="1015">
          <cell r="W1015" t="b">
            <v>0</v>
          </cell>
        </row>
        <row r="1016">
          <cell r="W1016" t="b">
            <v>0</v>
          </cell>
        </row>
        <row r="1017">
          <cell r="W1017" t="b">
            <v>0</v>
          </cell>
        </row>
        <row r="1018">
          <cell r="W1018" t="b">
            <v>0</v>
          </cell>
        </row>
        <row r="1019">
          <cell r="W1019" t="b">
            <v>0</v>
          </cell>
        </row>
        <row r="1020">
          <cell r="W1020" t="b">
            <v>0</v>
          </cell>
        </row>
        <row r="1021">
          <cell r="W1021" t="b">
            <v>0</v>
          </cell>
        </row>
        <row r="1022">
          <cell r="W1022" t="b">
            <v>0</v>
          </cell>
        </row>
        <row r="1023">
          <cell r="W1023" t="b">
            <v>0</v>
          </cell>
        </row>
        <row r="1024">
          <cell r="W1024" t="b">
            <v>0</v>
          </cell>
        </row>
        <row r="1025">
          <cell r="W1025" t="b">
            <v>0</v>
          </cell>
        </row>
        <row r="1026">
          <cell r="W1026" t="b">
            <v>0</v>
          </cell>
        </row>
        <row r="1027">
          <cell r="W1027" t="b">
            <v>0</v>
          </cell>
        </row>
        <row r="1028">
          <cell r="W1028" t="b">
            <v>0</v>
          </cell>
        </row>
        <row r="1029">
          <cell r="W1029" t="b">
            <v>0</v>
          </cell>
        </row>
        <row r="1030">
          <cell r="W1030" t="b">
            <v>0</v>
          </cell>
        </row>
        <row r="1031">
          <cell r="W1031" t="b">
            <v>0</v>
          </cell>
        </row>
        <row r="1032">
          <cell r="W1032" t="b">
            <v>0</v>
          </cell>
        </row>
        <row r="1033">
          <cell r="W1033" t="b">
            <v>0</v>
          </cell>
        </row>
        <row r="1034">
          <cell r="W1034" t="b">
            <v>0</v>
          </cell>
        </row>
        <row r="1035">
          <cell r="W1035" t="b">
            <v>0</v>
          </cell>
        </row>
        <row r="1036">
          <cell r="W1036" t="b">
            <v>0</v>
          </cell>
        </row>
        <row r="1037">
          <cell r="W1037" t="b">
            <v>0</v>
          </cell>
        </row>
        <row r="1038">
          <cell r="W1038" t="b">
            <v>0</v>
          </cell>
        </row>
        <row r="1039">
          <cell r="W1039" t="b">
            <v>0</v>
          </cell>
        </row>
        <row r="1040">
          <cell r="W1040" t="b">
            <v>0</v>
          </cell>
        </row>
        <row r="1041">
          <cell r="W1041" t="b">
            <v>0</v>
          </cell>
        </row>
        <row r="1042">
          <cell r="W1042" t="b">
            <v>0</v>
          </cell>
        </row>
        <row r="1043">
          <cell r="W1043" t="b">
            <v>0</v>
          </cell>
        </row>
        <row r="1044">
          <cell r="W1044" t="b">
            <v>0</v>
          </cell>
        </row>
        <row r="1045">
          <cell r="W1045" t="b">
            <v>0</v>
          </cell>
        </row>
        <row r="1046">
          <cell r="W1046" t="b">
            <v>0</v>
          </cell>
        </row>
        <row r="1047">
          <cell r="W1047" t="b">
            <v>0</v>
          </cell>
        </row>
        <row r="1048">
          <cell r="W1048" t="b">
            <v>0</v>
          </cell>
        </row>
        <row r="1049">
          <cell r="W1049" t="b">
            <v>0</v>
          </cell>
        </row>
        <row r="1050">
          <cell r="W1050" t="b">
            <v>0</v>
          </cell>
        </row>
        <row r="1051">
          <cell r="W1051" t="b">
            <v>0</v>
          </cell>
        </row>
        <row r="1052">
          <cell r="W1052" t="b">
            <v>0</v>
          </cell>
        </row>
        <row r="1053">
          <cell r="W1053" t="b">
            <v>0</v>
          </cell>
        </row>
        <row r="1054">
          <cell r="W1054" t="b">
            <v>0</v>
          </cell>
        </row>
        <row r="1055">
          <cell r="W1055" t="b">
            <v>0</v>
          </cell>
        </row>
        <row r="1056">
          <cell r="W1056" t="b">
            <v>0</v>
          </cell>
        </row>
        <row r="1057">
          <cell r="W1057" t="b">
            <v>0</v>
          </cell>
        </row>
        <row r="1058">
          <cell r="W1058" t="b">
            <v>0</v>
          </cell>
        </row>
        <row r="1059">
          <cell r="W1059" t="b">
            <v>0</v>
          </cell>
        </row>
        <row r="1060">
          <cell r="W1060" t="b">
            <v>0</v>
          </cell>
        </row>
        <row r="1061">
          <cell r="W1061" t="b">
            <v>0</v>
          </cell>
        </row>
        <row r="1062">
          <cell r="W1062" t="b">
            <v>0</v>
          </cell>
        </row>
        <row r="1063">
          <cell r="W1063" t="b">
            <v>0</v>
          </cell>
        </row>
        <row r="1064">
          <cell r="W1064" t="b">
            <v>0</v>
          </cell>
        </row>
        <row r="1065">
          <cell r="W1065" t="b">
            <v>0</v>
          </cell>
        </row>
        <row r="1066">
          <cell r="W1066" t="b">
            <v>0</v>
          </cell>
        </row>
        <row r="1067">
          <cell r="W1067" t="b">
            <v>0</v>
          </cell>
        </row>
        <row r="1068">
          <cell r="W1068" t="b">
            <v>0</v>
          </cell>
        </row>
        <row r="1069">
          <cell r="W1069" t="b">
            <v>0</v>
          </cell>
        </row>
        <row r="1070">
          <cell r="W1070" t="b">
            <v>0</v>
          </cell>
        </row>
        <row r="1071">
          <cell r="W1071" t="b">
            <v>0</v>
          </cell>
        </row>
        <row r="1072">
          <cell r="W1072" t="b">
            <v>0</v>
          </cell>
        </row>
        <row r="1073">
          <cell r="W1073" t="b">
            <v>0</v>
          </cell>
        </row>
        <row r="1074">
          <cell r="W1074" t="b">
            <v>0</v>
          </cell>
        </row>
        <row r="1075">
          <cell r="W1075" t="b">
            <v>0</v>
          </cell>
        </row>
        <row r="1076">
          <cell r="W1076" t="b">
            <v>0</v>
          </cell>
        </row>
        <row r="1077">
          <cell r="W1077" t="b">
            <v>0</v>
          </cell>
        </row>
        <row r="1078">
          <cell r="W1078" t="b">
            <v>0</v>
          </cell>
        </row>
        <row r="1079">
          <cell r="W1079" t="b">
            <v>0</v>
          </cell>
        </row>
        <row r="1080">
          <cell r="W1080" t="b">
            <v>0</v>
          </cell>
        </row>
        <row r="1081">
          <cell r="W1081" t="b">
            <v>0</v>
          </cell>
        </row>
        <row r="1082">
          <cell r="W1082" t="b">
            <v>0</v>
          </cell>
        </row>
        <row r="1083">
          <cell r="W1083" t="b">
            <v>0</v>
          </cell>
        </row>
        <row r="1084">
          <cell r="W1084" t="b">
            <v>0</v>
          </cell>
        </row>
        <row r="1085">
          <cell r="W1085" t="b">
            <v>0</v>
          </cell>
        </row>
        <row r="1086">
          <cell r="W1086" t="b">
            <v>0</v>
          </cell>
        </row>
        <row r="1087">
          <cell r="W1087" t="b">
            <v>0</v>
          </cell>
        </row>
        <row r="1088">
          <cell r="W1088" t="b">
            <v>0</v>
          </cell>
        </row>
        <row r="1089">
          <cell r="W1089" t="b">
            <v>0</v>
          </cell>
        </row>
        <row r="1090">
          <cell r="W1090" t="b">
            <v>0</v>
          </cell>
        </row>
        <row r="1091">
          <cell r="W1091" t="b">
            <v>0</v>
          </cell>
        </row>
        <row r="1092">
          <cell r="W1092" t="b">
            <v>0</v>
          </cell>
        </row>
        <row r="1093">
          <cell r="W1093" t="b">
            <v>0</v>
          </cell>
        </row>
        <row r="1094">
          <cell r="W1094" t="b">
            <v>0</v>
          </cell>
        </row>
        <row r="1095">
          <cell r="W1095" t="b">
            <v>0</v>
          </cell>
        </row>
        <row r="1096">
          <cell r="W1096" t="b">
            <v>0</v>
          </cell>
        </row>
        <row r="1097">
          <cell r="W1097" t="b">
            <v>0</v>
          </cell>
        </row>
        <row r="1098">
          <cell r="W1098" t="b">
            <v>0</v>
          </cell>
        </row>
        <row r="1099">
          <cell r="W1099" t="b">
            <v>0</v>
          </cell>
        </row>
        <row r="1100">
          <cell r="W1100" t="b">
            <v>0</v>
          </cell>
        </row>
        <row r="1101">
          <cell r="W1101" t="b">
            <v>0</v>
          </cell>
        </row>
        <row r="1102">
          <cell r="W1102" t="b">
            <v>0</v>
          </cell>
        </row>
        <row r="1103">
          <cell r="W1103" t="b">
            <v>0</v>
          </cell>
        </row>
        <row r="1104">
          <cell r="W1104" t="b">
            <v>0</v>
          </cell>
        </row>
        <row r="1105">
          <cell r="W1105" t="b">
            <v>0</v>
          </cell>
        </row>
        <row r="1106">
          <cell r="W1106" t="b">
            <v>0</v>
          </cell>
        </row>
        <row r="1107">
          <cell r="W1107" t="b">
            <v>0</v>
          </cell>
        </row>
        <row r="1108">
          <cell r="W1108" t="b">
            <v>0</v>
          </cell>
        </row>
        <row r="1109">
          <cell r="W1109" t="b">
            <v>0</v>
          </cell>
        </row>
        <row r="1110">
          <cell r="W1110" t="b">
            <v>0</v>
          </cell>
        </row>
        <row r="1111">
          <cell r="W1111" t="b">
            <v>0</v>
          </cell>
        </row>
        <row r="1112">
          <cell r="W1112" t="b">
            <v>0</v>
          </cell>
        </row>
        <row r="1113">
          <cell r="W1113" t="b">
            <v>0</v>
          </cell>
        </row>
        <row r="1114">
          <cell r="W1114" t="b">
            <v>0</v>
          </cell>
        </row>
        <row r="1115">
          <cell r="W1115" t="b">
            <v>0</v>
          </cell>
        </row>
        <row r="1116">
          <cell r="W1116" t="b">
            <v>0</v>
          </cell>
        </row>
        <row r="1117">
          <cell r="W1117" t="b">
            <v>0</v>
          </cell>
        </row>
        <row r="1118">
          <cell r="W1118" t="b">
            <v>0</v>
          </cell>
        </row>
        <row r="1119">
          <cell r="W1119" t="b">
            <v>0</v>
          </cell>
        </row>
        <row r="1120">
          <cell r="W1120" t="b">
            <v>0</v>
          </cell>
        </row>
        <row r="1121">
          <cell r="W1121" t="b">
            <v>0</v>
          </cell>
        </row>
        <row r="1122">
          <cell r="W1122" t="b">
            <v>0</v>
          </cell>
        </row>
        <row r="1123">
          <cell r="W1123" t="b">
            <v>0</v>
          </cell>
        </row>
        <row r="1124">
          <cell r="W1124" t="b">
            <v>0</v>
          </cell>
        </row>
        <row r="1125">
          <cell r="W1125" t="b">
            <v>0</v>
          </cell>
        </row>
        <row r="1126">
          <cell r="W1126" t="b">
            <v>0</v>
          </cell>
        </row>
        <row r="1127">
          <cell r="W1127" t="b">
            <v>0</v>
          </cell>
        </row>
        <row r="1128">
          <cell r="W1128" t="b">
            <v>0</v>
          </cell>
        </row>
        <row r="1129">
          <cell r="W1129" t="b">
            <v>0</v>
          </cell>
        </row>
        <row r="1130">
          <cell r="W1130" t="b">
            <v>0</v>
          </cell>
        </row>
        <row r="1131">
          <cell r="W1131" t="b">
            <v>0</v>
          </cell>
        </row>
        <row r="1132">
          <cell r="W1132" t="b">
            <v>0</v>
          </cell>
        </row>
        <row r="1133">
          <cell r="W1133" t="b">
            <v>0</v>
          </cell>
        </row>
        <row r="1134">
          <cell r="W1134" t="b">
            <v>0</v>
          </cell>
        </row>
        <row r="1135">
          <cell r="W1135" t="b">
            <v>0</v>
          </cell>
        </row>
        <row r="1136">
          <cell r="W1136" t="b">
            <v>0</v>
          </cell>
        </row>
        <row r="1137">
          <cell r="W1137" t="b">
            <v>0</v>
          </cell>
        </row>
        <row r="1138">
          <cell r="W1138" t="b">
            <v>0</v>
          </cell>
        </row>
        <row r="1139">
          <cell r="W1139" t="b">
            <v>0</v>
          </cell>
        </row>
        <row r="1140">
          <cell r="W1140" t="b">
            <v>0</v>
          </cell>
        </row>
        <row r="1141">
          <cell r="W1141" t="b">
            <v>0</v>
          </cell>
        </row>
        <row r="1142">
          <cell r="W1142" t="b">
            <v>0</v>
          </cell>
        </row>
        <row r="1143">
          <cell r="W1143" t="b">
            <v>0</v>
          </cell>
        </row>
        <row r="1144">
          <cell r="W1144" t="b">
            <v>0</v>
          </cell>
        </row>
        <row r="1145">
          <cell r="W1145" t="b">
            <v>0</v>
          </cell>
        </row>
        <row r="1146">
          <cell r="W1146" t="b">
            <v>0</v>
          </cell>
        </row>
        <row r="1147">
          <cell r="W1147" t="b">
            <v>0</v>
          </cell>
        </row>
        <row r="1148">
          <cell r="W1148" t="b">
            <v>0</v>
          </cell>
        </row>
        <row r="1149">
          <cell r="W1149" t="b">
            <v>0</v>
          </cell>
        </row>
        <row r="1150">
          <cell r="W1150" t="b">
            <v>0</v>
          </cell>
        </row>
        <row r="1151">
          <cell r="W1151" t="b">
            <v>0</v>
          </cell>
        </row>
        <row r="1152">
          <cell r="W1152" t="b">
            <v>0</v>
          </cell>
        </row>
        <row r="1153">
          <cell r="W1153" t="b">
            <v>0</v>
          </cell>
        </row>
        <row r="1154">
          <cell r="W1154" t="b">
            <v>0</v>
          </cell>
        </row>
        <row r="1155">
          <cell r="W1155" t="b">
            <v>0</v>
          </cell>
        </row>
        <row r="1156">
          <cell r="W1156" t="b">
            <v>0</v>
          </cell>
        </row>
        <row r="1157">
          <cell r="W1157" t="b">
            <v>0</v>
          </cell>
        </row>
        <row r="1158">
          <cell r="W1158" t="b">
            <v>0</v>
          </cell>
        </row>
        <row r="1159">
          <cell r="W1159" t="b">
            <v>0</v>
          </cell>
        </row>
        <row r="1160">
          <cell r="W1160" t="b">
            <v>0</v>
          </cell>
        </row>
        <row r="1161">
          <cell r="W1161" t="b">
            <v>0</v>
          </cell>
        </row>
        <row r="1162">
          <cell r="W1162" t="b">
            <v>0</v>
          </cell>
        </row>
        <row r="1163">
          <cell r="W1163" t="b">
            <v>0</v>
          </cell>
        </row>
        <row r="1164">
          <cell r="W1164" t="b">
            <v>0</v>
          </cell>
        </row>
        <row r="1165">
          <cell r="W1165" t="b">
            <v>0</v>
          </cell>
        </row>
        <row r="1166">
          <cell r="W1166" t="b">
            <v>0</v>
          </cell>
        </row>
        <row r="1167">
          <cell r="W1167" t="b">
            <v>0</v>
          </cell>
        </row>
        <row r="1168">
          <cell r="W1168" t="b">
            <v>0</v>
          </cell>
        </row>
        <row r="1169">
          <cell r="W1169" t="b">
            <v>0</v>
          </cell>
        </row>
        <row r="1170">
          <cell r="W1170" t="b">
            <v>0</v>
          </cell>
        </row>
        <row r="1171">
          <cell r="W1171" t="b">
            <v>0</v>
          </cell>
        </row>
        <row r="1172">
          <cell r="W1172" t="b">
            <v>0</v>
          </cell>
        </row>
        <row r="1173">
          <cell r="W1173" t="b">
            <v>0</v>
          </cell>
        </row>
        <row r="1174">
          <cell r="W1174" t="b">
            <v>0</v>
          </cell>
        </row>
        <row r="1175">
          <cell r="W1175" t="b">
            <v>0</v>
          </cell>
        </row>
        <row r="1176">
          <cell r="W1176" t="b">
            <v>0</v>
          </cell>
        </row>
        <row r="1177">
          <cell r="W1177" t="b">
            <v>0</v>
          </cell>
        </row>
        <row r="1178">
          <cell r="W1178" t="b">
            <v>0</v>
          </cell>
        </row>
        <row r="1179">
          <cell r="W1179" t="b">
            <v>0</v>
          </cell>
        </row>
        <row r="1180">
          <cell r="W1180" t="b">
            <v>0</v>
          </cell>
        </row>
        <row r="1181">
          <cell r="W1181" t="b">
            <v>0</v>
          </cell>
        </row>
        <row r="1182">
          <cell r="W1182" t="b">
            <v>0</v>
          </cell>
        </row>
        <row r="1183">
          <cell r="W1183" t="b">
            <v>0</v>
          </cell>
        </row>
        <row r="1184">
          <cell r="W1184" t="b">
            <v>0</v>
          </cell>
        </row>
        <row r="1185">
          <cell r="W1185" t="b">
            <v>0</v>
          </cell>
        </row>
        <row r="1186">
          <cell r="W1186" t="b">
            <v>0</v>
          </cell>
        </row>
        <row r="1187">
          <cell r="W1187" t="b">
            <v>0</v>
          </cell>
        </row>
        <row r="1188">
          <cell r="W1188" t="b">
            <v>0</v>
          </cell>
        </row>
        <row r="1189">
          <cell r="W1189" t="b">
            <v>0</v>
          </cell>
        </row>
        <row r="1190">
          <cell r="W1190" t="b">
            <v>0</v>
          </cell>
        </row>
        <row r="1191">
          <cell r="W1191" t="b">
            <v>0</v>
          </cell>
        </row>
        <row r="1192">
          <cell r="W1192" t="b">
            <v>0</v>
          </cell>
        </row>
        <row r="1193">
          <cell r="W1193" t="b">
            <v>0</v>
          </cell>
        </row>
        <row r="1194">
          <cell r="W1194" t="b">
            <v>0</v>
          </cell>
        </row>
        <row r="1195">
          <cell r="W1195" t="b">
            <v>0</v>
          </cell>
        </row>
        <row r="1196">
          <cell r="W1196" t="b">
            <v>0</v>
          </cell>
        </row>
        <row r="1197">
          <cell r="W1197" t="b">
            <v>0</v>
          </cell>
        </row>
        <row r="1198">
          <cell r="W1198" t="b">
            <v>0</v>
          </cell>
        </row>
        <row r="1199">
          <cell r="W1199" t="b">
            <v>0</v>
          </cell>
        </row>
        <row r="1200">
          <cell r="W1200" t="b">
            <v>0</v>
          </cell>
        </row>
        <row r="1201">
          <cell r="W1201" t="b">
            <v>0</v>
          </cell>
        </row>
        <row r="1202">
          <cell r="W1202" t="b">
            <v>0</v>
          </cell>
        </row>
        <row r="1203">
          <cell r="W1203" t="b">
            <v>0</v>
          </cell>
        </row>
        <row r="1204">
          <cell r="W1204" t="b">
            <v>0</v>
          </cell>
        </row>
        <row r="1205">
          <cell r="W1205" t="b">
            <v>0</v>
          </cell>
        </row>
        <row r="1206">
          <cell r="W1206" t="b">
            <v>0</v>
          </cell>
        </row>
        <row r="1207">
          <cell r="W1207" t="b">
            <v>0</v>
          </cell>
        </row>
        <row r="1208">
          <cell r="W1208" t="b">
            <v>0</v>
          </cell>
        </row>
        <row r="1209">
          <cell r="W1209" t="b">
            <v>0</v>
          </cell>
        </row>
        <row r="1210">
          <cell r="W1210" t="b">
            <v>0</v>
          </cell>
        </row>
        <row r="1211">
          <cell r="W1211" t="b">
            <v>0</v>
          </cell>
        </row>
        <row r="1212">
          <cell r="W1212" t="b">
            <v>0</v>
          </cell>
        </row>
        <row r="1213">
          <cell r="W1213" t="b">
            <v>0</v>
          </cell>
        </row>
        <row r="1214">
          <cell r="W1214" t="b">
            <v>0</v>
          </cell>
        </row>
        <row r="1215">
          <cell r="W1215" t="b">
            <v>0</v>
          </cell>
        </row>
        <row r="1216">
          <cell r="W1216" t="b">
            <v>0</v>
          </cell>
        </row>
        <row r="1217">
          <cell r="W1217" t="b">
            <v>0</v>
          </cell>
        </row>
        <row r="1218">
          <cell r="W1218" t="b">
            <v>0</v>
          </cell>
        </row>
        <row r="1219">
          <cell r="W1219" t="b">
            <v>0</v>
          </cell>
        </row>
        <row r="1220">
          <cell r="W1220" t="b">
            <v>0</v>
          </cell>
        </row>
        <row r="1221">
          <cell r="W1221" t="b">
            <v>0</v>
          </cell>
        </row>
        <row r="1222">
          <cell r="W1222" t="b">
            <v>0</v>
          </cell>
        </row>
        <row r="1223">
          <cell r="W1223" t="b">
            <v>0</v>
          </cell>
        </row>
        <row r="1224">
          <cell r="W1224" t="b">
            <v>0</v>
          </cell>
        </row>
        <row r="1225">
          <cell r="W1225" t="b">
            <v>0</v>
          </cell>
        </row>
        <row r="1226">
          <cell r="W1226" t="b">
            <v>0</v>
          </cell>
        </row>
        <row r="1227">
          <cell r="W1227" t="b">
            <v>0</v>
          </cell>
        </row>
        <row r="1228">
          <cell r="W1228" t="b">
            <v>0</v>
          </cell>
        </row>
        <row r="1229">
          <cell r="W1229" t="b">
            <v>0</v>
          </cell>
        </row>
        <row r="1230">
          <cell r="W1230" t="b">
            <v>0</v>
          </cell>
        </row>
        <row r="1231">
          <cell r="W1231" t="b">
            <v>0</v>
          </cell>
        </row>
      </sheetData>
      <sheetData sheetId="25" refreshError="1">
        <row r="1">
          <cell r="Q1" t="str">
            <v>SmartCharts</v>
          </cell>
        </row>
        <row r="4">
          <cell r="A4">
            <v>0</v>
          </cell>
        </row>
        <row r="5">
          <cell r="A5">
            <v>0</v>
          </cell>
          <cell r="C5" t="str">
            <v>Define value axis here:</v>
          </cell>
        </row>
        <row r="6">
          <cell r="A6">
            <v>0</v>
          </cell>
          <cell r="C6" t="str">
            <v>Tupperware Organic Sales Growth</v>
          </cell>
        </row>
        <row r="7">
          <cell r="A7">
            <v>0</v>
          </cell>
        </row>
        <row r="8">
          <cell r="A8">
            <v>0</v>
          </cell>
        </row>
        <row r="9">
          <cell r="A9">
            <v>0</v>
          </cell>
          <cell r="C9" t="str">
            <v>Input your data here:</v>
          </cell>
        </row>
        <row r="10">
          <cell r="A10">
            <v>0</v>
          </cell>
        </row>
        <row r="11">
          <cell r="A11">
            <v>0</v>
          </cell>
          <cell r="D11" t="str">
            <v>Series 1</v>
          </cell>
          <cell r="AA11" t="str">
            <v>Series 1</v>
          </cell>
        </row>
        <row r="12">
          <cell r="A12">
            <v>0</v>
          </cell>
          <cell r="C12" t="str">
            <v>Q105</v>
          </cell>
          <cell r="D12">
            <v>0.06</v>
          </cell>
          <cell r="Z12" t="str">
            <v>Q105</v>
          </cell>
          <cell r="AA12">
            <v>0.06</v>
          </cell>
        </row>
        <row r="13">
          <cell r="A13">
            <v>0</v>
          </cell>
          <cell r="C13" t="str">
            <v>Q205</v>
          </cell>
          <cell r="D13">
            <v>1.4999999999999999E-2</v>
          </cell>
          <cell r="Z13" t="str">
            <v>Q205</v>
          </cell>
          <cell r="AA13">
            <v>1.4999999999999999E-2</v>
          </cell>
        </row>
        <row r="14">
          <cell r="A14">
            <v>0</v>
          </cell>
          <cell r="C14" t="str">
            <v>Q305</v>
          </cell>
          <cell r="D14">
            <v>0.03</v>
          </cell>
          <cell r="Z14" t="str">
            <v>Q305</v>
          </cell>
          <cell r="AA14">
            <v>0.03</v>
          </cell>
        </row>
        <row r="15">
          <cell r="A15">
            <v>0</v>
          </cell>
          <cell r="C15" t="str">
            <v>Q405</v>
          </cell>
          <cell r="D15">
            <v>-0.06</v>
          </cell>
          <cell r="Z15" t="str">
            <v>Q405</v>
          </cell>
          <cell r="AA15">
            <v>-0.06</v>
          </cell>
        </row>
        <row r="16">
          <cell r="A16">
            <v>0</v>
          </cell>
          <cell r="C16" t="str">
            <v>Q106</v>
          </cell>
          <cell r="D16">
            <v>-1.2999999999999999E-2</v>
          </cell>
          <cell r="Z16" t="str">
            <v>Q106</v>
          </cell>
          <cell r="AA16">
            <v>-1.2999999999999999E-2</v>
          </cell>
        </row>
        <row r="17">
          <cell r="A17">
            <v>0</v>
          </cell>
          <cell r="C17" t="str">
            <v>Q206</v>
          </cell>
          <cell r="D17">
            <v>-0.02</v>
          </cell>
          <cell r="Z17" t="str">
            <v>Q206</v>
          </cell>
          <cell r="AA17">
            <v>-0.02</v>
          </cell>
        </row>
        <row r="18">
          <cell r="A18">
            <v>0</v>
          </cell>
          <cell r="C18" t="str">
            <v>Q306</v>
          </cell>
          <cell r="D18">
            <v>0.02</v>
          </cell>
          <cell r="Z18" t="str">
            <v>Q306</v>
          </cell>
          <cell r="AA18">
            <v>0.02</v>
          </cell>
        </row>
        <row r="19">
          <cell r="A19">
            <v>0</v>
          </cell>
          <cell r="C19" t="str">
            <v>Q406</v>
          </cell>
          <cell r="D19">
            <v>0.03</v>
          </cell>
          <cell r="Z19" t="str">
            <v>Q406</v>
          </cell>
          <cell r="AA19">
            <v>0.03</v>
          </cell>
        </row>
        <row r="20">
          <cell r="C20" t="str">
            <v>Q107</v>
          </cell>
          <cell r="D20">
            <v>0.05</v>
          </cell>
          <cell r="Z20" t="str">
            <v>Q107</v>
          </cell>
          <cell r="AA20">
            <v>0.05</v>
          </cell>
        </row>
        <row r="21">
          <cell r="C21" t="str">
            <v>Q207</v>
          </cell>
          <cell r="D21">
            <v>0.08</v>
          </cell>
          <cell r="Z21" t="str">
            <v>Q207</v>
          </cell>
          <cell r="AA21">
            <v>0.08</v>
          </cell>
        </row>
        <row r="22">
          <cell r="C22" t="str">
            <v>Q307</v>
          </cell>
          <cell r="D22">
            <v>0.1</v>
          </cell>
          <cell r="Z22" t="str">
            <v>Q307</v>
          </cell>
          <cell r="AA22">
            <v>0.1</v>
          </cell>
        </row>
        <row r="23">
          <cell r="C23" t="str">
            <v>Q407</v>
          </cell>
          <cell r="D23">
            <v>0.11</v>
          </cell>
          <cell r="Z23" t="str">
            <v>Q407</v>
          </cell>
          <cell r="AA23">
            <v>0.11</v>
          </cell>
        </row>
        <row r="24">
          <cell r="C24" t="str">
            <v>Q108</v>
          </cell>
          <cell r="D24">
            <v>0.1</v>
          </cell>
          <cell r="Z24" t="str">
            <v>Q108</v>
          </cell>
          <cell r="AA24">
            <v>0.1</v>
          </cell>
        </row>
        <row r="25">
          <cell r="C25" t="str">
            <v>Q208</v>
          </cell>
          <cell r="D25">
            <v>0.1</v>
          </cell>
          <cell r="Z25" t="str">
            <v>Q208</v>
          </cell>
          <cell r="AA25">
            <v>0.1</v>
          </cell>
        </row>
        <row r="26">
          <cell r="C26" t="str">
            <v>Q308</v>
          </cell>
          <cell r="D26">
            <v>0.08</v>
          </cell>
          <cell r="Z26" t="str">
            <v>Q308</v>
          </cell>
          <cell r="AA26">
            <v>0.08</v>
          </cell>
        </row>
        <row r="27">
          <cell r="C27" t="str">
            <v>Q408</v>
          </cell>
          <cell r="D27">
            <v>0.03</v>
          </cell>
          <cell r="Z27" t="str">
            <v>Q408</v>
          </cell>
          <cell r="AA27">
            <v>0.03</v>
          </cell>
        </row>
        <row r="28">
          <cell r="C28" t="str">
            <v>Q109</v>
          </cell>
          <cell r="D28">
            <v>0.01</v>
          </cell>
          <cell r="Z28" t="str">
            <v>Q109</v>
          </cell>
          <cell r="AA28">
            <v>0.01</v>
          </cell>
        </row>
        <row r="29">
          <cell r="C29" t="str">
            <v>Q209</v>
          </cell>
          <cell r="D29">
            <v>0.04</v>
          </cell>
          <cell r="Z29" t="str">
            <v>Q209</v>
          </cell>
          <cell r="AA29">
            <v>0.04</v>
          </cell>
        </row>
        <row r="30">
          <cell r="C30" t="str">
            <v>Q309</v>
          </cell>
          <cell r="D30">
            <v>0.09</v>
          </cell>
          <cell r="Z30" t="str">
            <v>Q309</v>
          </cell>
          <cell r="AA30">
            <v>0.09</v>
          </cell>
        </row>
        <row r="31">
          <cell r="Z31" t="b">
            <v>0</v>
          </cell>
          <cell r="AA31" t="b">
            <v>0</v>
          </cell>
        </row>
        <row r="32">
          <cell r="Z32" t="b">
            <v>0</v>
          </cell>
          <cell r="AA32" t="b">
            <v>0</v>
          </cell>
        </row>
        <row r="33">
          <cell r="Z33" t="b">
            <v>0</v>
          </cell>
          <cell r="AA33" t="b">
            <v>0</v>
          </cell>
        </row>
        <row r="34">
          <cell r="Z34" t="b">
            <v>0</v>
          </cell>
          <cell r="AA34" t="b">
            <v>0</v>
          </cell>
        </row>
        <row r="35">
          <cell r="Z35" t="b">
            <v>0</v>
          </cell>
          <cell r="AA35" t="b">
            <v>0</v>
          </cell>
        </row>
        <row r="36">
          <cell r="Z36" t="b">
            <v>0</v>
          </cell>
          <cell r="AA36" t="b">
            <v>0</v>
          </cell>
        </row>
        <row r="37">
          <cell r="Z37" t="b">
            <v>0</v>
          </cell>
          <cell r="AA37" t="b">
            <v>0</v>
          </cell>
        </row>
        <row r="38">
          <cell r="Z38" t="b">
            <v>0</v>
          </cell>
          <cell r="AA38" t="b">
            <v>0</v>
          </cell>
        </row>
        <row r="39">
          <cell r="Z39" t="b">
            <v>0</v>
          </cell>
          <cell r="AA39" t="b">
            <v>0</v>
          </cell>
        </row>
        <row r="40">
          <cell r="I40" t="str">
            <v>Do not change the width of the exhibit or font sizes (they are optimized for export to Word).</v>
          </cell>
          <cell r="Z40" t="b">
            <v>0</v>
          </cell>
          <cell r="AA40" t="b">
            <v>0</v>
          </cell>
        </row>
        <row r="41">
          <cell r="Z41" t="b">
            <v>0</v>
          </cell>
          <cell r="AA41" t="b">
            <v>0</v>
          </cell>
        </row>
        <row r="42">
          <cell r="I42" t="str">
            <v>Do not delete any rows or columns (some gray cells are used for calculations).</v>
          </cell>
          <cell r="Z42" t="b">
            <v>0</v>
          </cell>
          <cell r="AA42" t="b">
            <v>0</v>
          </cell>
        </row>
        <row r="43">
          <cell r="K43" t="str">
            <v xml:space="preserve"> </v>
          </cell>
          <cell r="Z43" t="b">
            <v>0</v>
          </cell>
          <cell r="AA43" t="b">
            <v>0</v>
          </cell>
        </row>
        <row r="44">
          <cell r="Z44" t="b">
            <v>0</v>
          </cell>
          <cell r="AA44" t="b">
            <v>0</v>
          </cell>
        </row>
        <row r="45">
          <cell r="Z45" t="b">
            <v>0</v>
          </cell>
          <cell r="AA45" t="b">
            <v>0</v>
          </cell>
        </row>
        <row r="46">
          <cell r="Z46" t="b">
            <v>0</v>
          </cell>
          <cell r="AA46" t="b">
            <v>0</v>
          </cell>
        </row>
        <row r="47">
          <cell r="Z47" t="b">
            <v>0</v>
          </cell>
          <cell r="AA47" t="b">
            <v>0</v>
          </cell>
        </row>
        <row r="48">
          <cell r="Z48" t="b">
            <v>0</v>
          </cell>
          <cell r="AA48" t="b">
            <v>0</v>
          </cell>
        </row>
        <row r="49">
          <cell r="Z49" t="b">
            <v>0</v>
          </cell>
          <cell r="AA49" t="b">
            <v>0</v>
          </cell>
        </row>
        <row r="50">
          <cell r="Z50" t="b">
            <v>0</v>
          </cell>
          <cell r="AA50" t="b">
            <v>0</v>
          </cell>
        </row>
        <row r="51">
          <cell r="Z51" t="b">
            <v>0</v>
          </cell>
          <cell r="AA51" t="b">
            <v>0</v>
          </cell>
        </row>
        <row r="52">
          <cell r="Z52" t="b">
            <v>0</v>
          </cell>
          <cell r="AA52" t="b">
            <v>0</v>
          </cell>
        </row>
        <row r="53">
          <cell r="Z53" t="b">
            <v>0</v>
          </cell>
          <cell r="AA53" t="b">
            <v>0</v>
          </cell>
        </row>
        <row r="54">
          <cell r="Z54" t="b">
            <v>0</v>
          </cell>
          <cell r="AA54" t="b">
            <v>0</v>
          </cell>
        </row>
        <row r="55">
          <cell r="Z55" t="b">
            <v>0</v>
          </cell>
          <cell r="AA55" t="b">
            <v>0</v>
          </cell>
        </row>
        <row r="56">
          <cell r="Z56" t="b">
            <v>0</v>
          </cell>
          <cell r="AA56" t="b">
            <v>0</v>
          </cell>
        </row>
        <row r="57">
          <cell r="Z57" t="b">
            <v>0</v>
          </cell>
          <cell r="AA57" t="b">
            <v>0</v>
          </cell>
        </row>
        <row r="58">
          <cell r="Z58" t="b">
            <v>0</v>
          </cell>
          <cell r="AA58" t="b">
            <v>0</v>
          </cell>
        </row>
        <row r="59">
          <cell r="Z59" t="b">
            <v>0</v>
          </cell>
          <cell r="AA59" t="b">
            <v>0</v>
          </cell>
        </row>
        <row r="60">
          <cell r="Z60" t="b">
            <v>0</v>
          </cell>
          <cell r="AA60" t="b">
            <v>0</v>
          </cell>
        </row>
        <row r="61">
          <cell r="Z61" t="b">
            <v>0</v>
          </cell>
          <cell r="AA61" t="b">
            <v>0</v>
          </cell>
        </row>
        <row r="62">
          <cell r="Z62" t="b">
            <v>0</v>
          </cell>
          <cell r="AA62" t="b">
            <v>0</v>
          </cell>
        </row>
        <row r="63">
          <cell r="Z63" t="b">
            <v>0</v>
          </cell>
          <cell r="AA63" t="b">
            <v>0</v>
          </cell>
        </row>
        <row r="64">
          <cell r="Z64" t="b">
            <v>0</v>
          </cell>
          <cell r="AA64" t="b">
            <v>0</v>
          </cell>
        </row>
        <row r="65">
          <cell r="Z65" t="b">
            <v>0</v>
          </cell>
          <cell r="AA65" t="b">
            <v>0</v>
          </cell>
        </row>
        <row r="66">
          <cell r="Z66" t="b">
            <v>0</v>
          </cell>
          <cell r="AA66" t="b">
            <v>0</v>
          </cell>
        </row>
        <row r="67">
          <cell r="Z67" t="b">
            <v>0</v>
          </cell>
          <cell r="AA67" t="b">
            <v>0</v>
          </cell>
        </row>
        <row r="68">
          <cell r="Z68" t="b">
            <v>0</v>
          </cell>
          <cell r="AA68" t="b">
            <v>0</v>
          </cell>
        </row>
        <row r="69">
          <cell r="Z69" t="b">
            <v>0</v>
          </cell>
          <cell r="AA69" t="b">
            <v>0</v>
          </cell>
        </row>
        <row r="70">
          <cell r="J70" t="str">
            <v>M</v>
          </cell>
          <cell r="Z70" t="b">
            <v>0</v>
          </cell>
          <cell r="AA70" t="b">
            <v>0</v>
          </cell>
        </row>
        <row r="71">
          <cell r="Z71" t="b">
            <v>0</v>
          </cell>
          <cell r="AA71" t="b">
            <v>0</v>
          </cell>
        </row>
        <row r="72">
          <cell r="Z72" t="b">
            <v>0</v>
          </cell>
          <cell r="AA72" t="b">
            <v>0</v>
          </cell>
        </row>
        <row r="73">
          <cell r="Z73" t="b">
            <v>0</v>
          </cell>
          <cell r="AA73" t="b">
            <v>0</v>
          </cell>
        </row>
        <row r="74">
          <cell r="Z74" t="b">
            <v>0</v>
          </cell>
          <cell r="AA74" t="b">
            <v>0</v>
          </cell>
        </row>
        <row r="75">
          <cell r="Z75" t="b">
            <v>0</v>
          </cell>
          <cell r="AA75" t="b">
            <v>0</v>
          </cell>
        </row>
        <row r="76">
          <cell r="Z76" t="b">
            <v>0</v>
          </cell>
          <cell r="AA76" t="b">
            <v>0</v>
          </cell>
        </row>
        <row r="77">
          <cell r="Z77" t="b">
            <v>0</v>
          </cell>
          <cell r="AA77" t="b">
            <v>0</v>
          </cell>
        </row>
        <row r="78">
          <cell r="Z78" t="b">
            <v>0</v>
          </cell>
          <cell r="AA78" t="b">
            <v>0</v>
          </cell>
        </row>
        <row r="79">
          <cell r="Z79" t="b">
            <v>0</v>
          </cell>
          <cell r="AA79" t="b">
            <v>0</v>
          </cell>
        </row>
        <row r="80">
          <cell r="Z80" t="b">
            <v>0</v>
          </cell>
          <cell r="AA80" t="b">
            <v>0</v>
          </cell>
        </row>
        <row r="81">
          <cell r="Z81" t="b">
            <v>0</v>
          </cell>
          <cell r="AA81" t="b">
            <v>0</v>
          </cell>
        </row>
        <row r="82">
          <cell r="Z82" t="b">
            <v>0</v>
          </cell>
          <cell r="AA82" t="b">
            <v>0</v>
          </cell>
        </row>
        <row r="83">
          <cell r="Z83" t="b">
            <v>0</v>
          </cell>
          <cell r="AA83" t="b">
            <v>0</v>
          </cell>
        </row>
        <row r="84">
          <cell r="Z84" t="b">
            <v>0</v>
          </cell>
          <cell r="AA84" t="b">
            <v>0</v>
          </cell>
        </row>
        <row r="85">
          <cell r="Z85" t="b">
            <v>0</v>
          </cell>
          <cell r="AA85" t="b">
            <v>0</v>
          </cell>
        </row>
        <row r="86">
          <cell r="Z86" t="b">
            <v>0</v>
          </cell>
          <cell r="AA86" t="b">
            <v>0</v>
          </cell>
        </row>
        <row r="87">
          <cell r="Z87" t="b">
            <v>0</v>
          </cell>
          <cell r="AA87" t="b">
            <v>0</v>
          </cell>
        </row>
        <row r="88">
          <cell r="Z88" t="b">
            <v>0</v>
          </cell>
          <cell r="AA88" t="b">
            <v>0</v>
          </cell>
        </row>
        <row r="89">
          <cell r="Z89" t="b">
            <v>0</v>
          </cell>
          <cell r="AA89" t="b">
            <v>0</v>
          </cell>
        </row>
        <row r="90">
          <cell r="Z90" t="b">
            <v>0</v>
          </cell>
          <cell r="AA90" t="b">
            <v>0</v>
          </cell>
        </row>
        <row r="91">
          <cell r="Z91" t="b">
            <v>0</v>
          </cell>
          <cell r="AA91" t="b">
            <v>0</v>
          </cell>
        </row>
        <row r="92">
          <cell r="Z92" t="b">
            <v>0</v>
          </cell>
          <cell r="AA92" t="b">
            <v>0</v>
          </cell>
        </row>
        <row r="93">
          <cell r="Z93" t="b">
            <v>0</v>
          </cell>
          <cell r="AA93" t="b">
            <v>0</v>
          </cell>
        </row>
        <row r="94">
          <cell r="Z94" t="b">
            <v>0</v>
          </cell>
          <cell r="AA94" t="b">
            <v>0</v>
          </cell>
        </row>
        <row r="95">
          <cell r="Z95" t="b">
            <v>0</v>
          </cell>
          <cell r="AA95" t="b">
            <v>0</v>
          </cell>
        </row>
        <row r="96">
          <cell r="Z96" t="b">
            <v>0</v>
          </cell>
          <cell r="AA96" t="b">
            <v>0</v>
          </cell>
        </row>
        <row r="97">
          <cell r="Z97" t="b">
            <v>0</v>
          </cell>
          <cell r="AA97" t="b">
            <v>0</v>
          </cell>
        </row>
        <row r="98">
          <cell r="Z98" t="b">
            <v>0</v>
          </cell>
          <cell r="AA98" t="b">
            <v>0</v>
          </cell>
        </row>
        <row r="99">
          <cell r="Z99" t="b">
            <v>0</v>
          </cell>
          <cell r="AA99" t="b">
            <v>0</v>
          </cell>
        </row>
        <row r="100">
          <cell r="Z100" t="b">
            <v>0</v>
          </cell>
          <cell r="AA100" t="b">
            <v>0</v>
          </cell>
        </row>
        <row r="101">
          <cell r="Z101" t="b">
            <v>0</v>
          </cell>
          <cell r="AA101" t="b">
            <v>0</v>
          </cell>
        </row>
        <row r="102">
          <cell r="Z102" t="b">
            <v>0</v>
          </cell>
          <cell r="AA102" t="b">
            <v>0</v>
          </cell>
        </row>
        <row r="103">
          <cell r="Z103" t="b">
            <v>0</v>
          </cell>
          <cell r="AA103" t="b">
            <v>0</v>
          </cell>
        </row>
        <row r="104">
          <cell r="Z104" t="b">
            <v>0</v>
          </cell>
          <cell r="AA104" t="b">
            <v>0</v>
          </cell>
        </row>
        <row r="105">
          <cell r="Z105" t="b">
            <v>0</v>
          </cell>
          <cell r="AA105" t="b">
            <v>0</v>
          </cell>
        </row>
        <row r="106">
          <cell r="Z106" t="b">
            <v>0</v>
          </cell>
          <cell r="AA106" t="b">
            <v>0</v>
          </cell>
        </row>
        <row r="107">
          <cell r="Z107" t="b">
            <v>0</v>
          </cell>
          <cell r="AA107" t="b">
            <v>0</v>
          </cell>
        </row>
        <row r="108">
          <cell r="Z108" t="b">
            <v>0</v>
          </cell>
          <cell r="AA108" t="b">
            <v>0</v>
          </cell>
        </row>
        <row r="109">
          <cell r="Z109" t="b">
            <v>0</v>
          </cell>
          <cell r="AA109" t="b">
            <v>0</v>
          </cell>
        </row>
        <row r="110">
          <cell r="Z110" t="b">
            <v>0</v>
          </cell>
          <cell r="AA110" t="b">
            <v>0</v>
          </cell>
        </row>
        <row r="111">
          <cell r="Z111" t="b">
            <v>0</v>
          </cell>
          <cell r="AA111" t="b">
            <v>0</v>
          </cell>
        </row>
        <row r="112">
          <cell r="Z112" t="b">
            <v>0</v>
          </cell>
          <cell r="AA112" t="b">
            <v>0</v>
          </cell>
        </row>
        <row r="113">
          <cell r="Z113" t="b">
            <v>0</v>
          </cell>
          <cell r="AA113" t="b">
            <v>0</v>
          </cell>
        </row>
        <row r="114">
          <cell r="Z114" t="b">
            <v>0</v>
          </cell>
          <cell r="AA114" t="b">
            <v>0</v>
          </cell>
        </row>
        <row r="115">
          <cell r="Z115" t="b">
            <v>0</v>
          </cell>
          <cell r="AA115" t="b">
            <v>0</v>
          </cell>
        </row>
        <row r="116">
          <cell r="Z116" t="b">
            <v>0</v>
          </cell>
          <cell r="AA116" t="b">
            <v>0</v>
          </cell>
        </row>
        <row r="117">
          <cell r="Z117" t="b">
            <v>0</v>
          </cell>
          <cell r="AA117" t="b">
            <v>0</v>
          </cell>
        </row>
        <row r="118">
          <cell r="Z118" t="b">
            <v>0</v>
          </cell>
          <cell r="AA118" t="b">
            <v>0</v>
          </cell>
        </row>
        <row r="119">
          <cell r="Z119" t="b">
            <v>0</v>
          </cell>
          <cell r="AA119" t="b">
            <v>0</v>
          </cell>
        </row>
        <row r="120">
          <cell r="Z120" t="b">
            <v>0</v>
          </cell>
          <cell r="AA120" t="b">
            <v>0</v>
          </cell>
        </row>
        <row r="121">
          <cell r="Z121" t="b">
            <v>0</v>
          </cell>
          <cell r="AA121" t="b">
            <v>0</v>
          </cell>
        </row>
        <row r="122">
          <cell r="Z122" t="b">
            <v>0</v>
          </cell>
          <cell r="AA122" t="b">
            <v>0</v>
          </cell>
        </row>
        <row r="123">
          <cell r="Z123" t="b">
            <v>0</v>
          </cell>
          <cell r="AA123" t="b">
            <v>0</v>
          </cell>
        </row>
        <row r="124">
          <cell r="Z124" t="b">
            <v>0</v>
          </cell>
          <cell r="AA124" t="b">
            <v>0</v>
          </cell>
        </row>
        <row r="125">
          <cell r="Z125" t="b">
            <v>0</v>
          </cell>
          <cell r="AA125" t="b">
            <v>0</v>
          </cell>
        </row>
        <row r="126">
          <cell r="Z126" t="b">
            <v>0</v>
          </cell>
          <cell r="AA126" t="b">
            <v>0</v>
          </cell>
        </row>
        <row r="127">
          <cell r="Z127" t="b">
            <v>0</v>
          </cell>
          <cell r="AA127" t="b">
            <v>0</v>
          </cell>
        </row>
        <row r="128">
          <cell r="Z128" t="b">
            <v>0</v>
          </cell>
          <cell r="AA128" t="b">
            <v>0</v>
          </cell>
        </row>
        <row r="129">
          <cell r="Z129" t="b">
            <v>0</v>
          </cell>
          <cell r="AA129" t="b">
            <v>0</v>
          </cell>
        </row>
        <row r="130">
          <cell r="Z130" t="b">
            <v>0</v>
          </cell>
          <cell r="AA130" t="b">
            <v>0</v>
          </cell>
        </row>
        <row r="131">
          <cell r="Z131" t="b">
            <v>0</v>
          </cell>
          <cell r="AA131" t="b">
            <v>0</v>
          </cell>
        </row>
        <row r="132">
          <cell r="Z132" t="b">
            <v>0</v>
          </cell>
          <cell r="AA132" t="b">
            <v>0</v>
          </cell>
        </row>
        <row r="133">
          <cell r="Z133" t="b">
            <v>0</v>
          </cell>
          <cell r="AA133" t="b">
            <v>0</v>
          </cell>
        </row>
        <row r="134">
          <cell r="Z134" t="b">
            <v>0</v>
          </cell>
          <cell r="AA134" t="b">
            <v>0</v>
          </cell>
        </row>
        <row r="135">
          <cell r="Z135" t="b">
            <v>0</v>
          </cell>
          <cell r="AA135" t="b">
            <v>0</v>
          </cell>
        </row>
        <row r="136">
          <cell r="Z136" t="b">
            <v>0</v>
          </cell>
          <cell r="AA136" t="b">
            <v>0</v>
          </cell>
        </row>
        <row r="137">
          <cell r="Z137" t="b">
            <v>0</v>
          </cell>
          <cell r="AA137" t="b">
            <v>0</v>
          </cell>
        </row>
        <row r="138">
          <cell r="Z138" t="b">
            <v>0</v>
          </cell>
          <cell r="AA138" t="b">
            <v>0</v>
          </cell>
        </row>
        <row r="139">
          <cell r="Z139" t="b">
            <v>0</v>
          </cell>
          <cell r="AA139" t="b">
            <v>0</v>
          </cell>
        </row>
        <row r="140">
          <cell r="Z140" t="b">
            <v>0</v>
          </cell>
          <cell r="AA140" t="b">
            <v>0</v>
          </cell>
        </row>
        <row r="141">
          <cell r="Z141" t="b">
            <v>0</v>
          </cell>
          <cell r="AA141" t="b">
            <v>0</v>
          </cell>
        </row>
        <row r="142">
          <cell r="Z142" t="b">
            <v>0</v>
          </cell>
          <cell r="AA142" t="b">
            <v>0</v>
          </cell>
        </row>
        <row r="143">
          <cell r="Z143" t="b">
            <v>0</v>
          </cell>
          <cell r="AA143" t="b">
            <v>0</v>
          </cell>
        </row>
        <row r="144">
          <cell r="Z144" t="b">
            <v>0</v>
          </cell>
          <cell r="AA144" t="b">
            <v>0</v>
          </cell>
        </row>
        <row r="145">
          <cell r="Z145" t="b">
            <v>0</v>
          </cell>
          <cell r="AA145" t="b">
            <v>0</v>
          </cell>
        </row>
        <row r="146">
          <cell r="Z146" t="b">
            <v>0</v>
          </cell>
          <cell r="AA146" t="b">
            <v>0</v>
          </cell>
        </row>
        <row r="147">
          <cell r="Z147" t="b">
            <v>0</v>
          </cell>
          <cell r="AA147" t="b">
            <v>0</v>
          </cell>
        </row>
        <row r="148">
          <cell r="Z148" t="b">
            <v>0</v>
          </cell>
          <cell r="AA148" t="b">
            <v>0</v>
          </cell>
        </row>
        <row r="149">
          <cell r="Z149" t="b">
            <v>0</v>
          </cell>
          <cell r="AA149" t="b">
            <v>0</v>
          </cell>
        </row>
        <row r="150">
          <cell r="Z150" t="b">
            <v>0</v>
          </cell>
          <cell r="AA150" t="b">
            <v>0</v>
          </cell>
        </row>
        <row r="151">
          <cell r="Z151" t="b">
            <v>0</v>
          </cell>
          <cell r="AA151" t="b">
            <v>0</v>
          </cell>
        </row>
        <row r="152">
          <cell r="Z152" t="b">
            <v>0</v>
          </cell>
          <cell r="AA152" t="b">
            <v>0</v>
          </cell>
        </row>
        <row r="153">
          <cell r="Z153" t="b">
            <v>0</v>
          </cell>
          <cell r="AA153" t="b">
            <v>0</v>
          </cell>
        </row>
        <row r="154">
          <cell r="Z154" t="b">
            <v>0</v>
          </cell>
          <cell r="AA154" t="b">
            <v>0</v>
          </cell>
        </row>
        <row r="155">
          <cell r="Z155" t="b">
            <v>0</v>
          </cell>
          <cell r="AA155" t="b">
            <v>0</v>
          </cell>
        </row>
        <row r="156">
          <cell r="Z156" t="b">
            <v>0</v>
          </cell>
          <cell r="AA156" t="b">
            <v>0</v>
          </cell>
        </row>
        <row r="157">
          <cell r="Z157" t="b">
            <v>0</v>
          </cell>
          <cell r="AA157" t="b">
            <v>0</v>
          </cell>
        </row>
        <row r="158">
          <cell r="Z158" t="b">
            <v>0</v>
          </cell>
          <cell r="AA158" t="b">
            <v>0</v>
          </cell>
        </row>
        <row r="159">
          <cell r="Z159" t="b">
            <v>0</v>
          </cell>
          <cell r="AA159" t="b">
            <v>0</v>
          </cell>
        </row>
        <row r="160">
          <cell r="Z160" t="b">
            <v>0</v>
          </cell>
          <cell r="AA160" t="b">
            <v>0</v>
          </cell>
        </row>
        <row r="161">
          <cell r="Z161" t="b">
            <v>0</v>
          </cell>
          <cell r="AA161" t="b">
            <v>0</v>
          </cell>
        </row>
        <row r="162">
          <cell r="Z162" t="b">
            <v>0</v>
          </cell>
          <cell r="AA162" t="b">
            <v>0</v>
          </cell>
        </row>
        <row r="163">
          <cell r="Z163" t="b">
            <v>0</v>
          </cell>
          <cell r="AA163" t="b">
            <v>0</v>
          </cell>
        </row>
        <row r="164">
          <cell r="Z164" t="b">
            <v>0</v>
          </cell>
          <cell r="AA164" t="b">
            <v>0</v>
          </cell>
        </row>
        <row r="165">
          <cell r="Z165" t="b">
            <v>0</v>
          </cell>
          <cell r="AA165" t="b">
            <v>0</v>
          </cell>
        </row>
        <row r="166">
          <cell r="Z166" t="b">
            <v>0</v>
          </cell>
          <cell r="AA166" t="b">
            <v>0</v>
          </cell>
        </row>
        <row r="167">
          <cell r="Z167" t="b">
            <v>0</v>
          </cell>
          <cell r="AA167" t="b">
            <v>0</v>
          </cell>
        </row>
        <row r="168">
          <cell r="Z168" t="b">
            <v>0</v>
          </cell>
          <cell r="AA168" t="b">
            <v>0</v>
          </cell>
        </row>
        <row r="169">
          <cell r="Z169" t="b">
            <v>0</v>
          </cell>
          <cell r="AA169" t="b">
            <v>0</v>
          </cell>
        </row>
        <row r="170">
          <cell r="Z170" t="b">
            <v>0</v>
          </cell>
          <cell r="AA170" t="b">
            <v>0</v>
          </cell>
        </row>
        <row r="171">
          <cell r="Z171" t="b">
            <v>0</v>
          </cell>
          <cell r="AA171" t="b">
            <v>0</v>
          </cell>
        </row>
        <row r="172">
          <cell r="Z172" t="b">
            <v>0</v>
          </cell>
          <cell r="AA172" t="b">
            <v>0</v>
          </cell>
        </row>
        <row r="173">
          <cell r="Z173" t="b">
            <v>0</v>
          </cell>
          <cell r="AA173" t="b">
            <v>0</v>
          </cell>
        </row>
        <row r="174">
          <cell r="Z174" t="b">
            <v>0</v>
          </cell>
          <cell r="AA174" t="b">
            <v>0</v>
          </cell>
        </row>
        <row r="175">
          <cell r="Z175" t="b">
            <v>0</v>
          </cell>
          <cell r="AA175" t="b">
            <v>0</v>
          </cell>
        </row>
        <row r="176">
          <cell r="Z176" t="b">
            <v>0</v>
          </cell>
          <cell r="AA176" t="b">
            <v>0</v>
          </cell>
        </row>
        <row r="177">
          <cell r="Z177" t="b">
            <v>0</v>
          </cell>
          <cell r="AA177" t="b">
            <v>0</v>
          </cell>
        </row>
        <row r="178">
          <cell r="Z178" t="b">
            <v>0</v>
          </cell>
          <cell r="AA178" t="b">
            <v>0</v>
          </cell>
        </row>
        <row r="179">
          <cell r="Z179" t="b">
            <v>0</v>
          </cell>
          <cell r="AA179" t="b">
            <v>0</v>
          </cell>
        </row>
        <row r="180">
          <cell r="Z180" t="b">
            <v>0</v>
          </cell>
          <cell r="AA180" t="b">
            <v>0</v>
          </cell>
        </row>
        <row r="181">
          <cell r="Z181" t="b">
            <v>0</v>
          </cell>
          <cell r="AA181" t="b">
            <v>0</v>
          </cell>
        </row>
        <row r="182">
          <cell r="Z182" t="b">
            <v>0</v>
          </cell>
          <cell r="AA182" t="b">
            <v>0</v>
          </cell>
        </row>
        <row r="183">
          <cell r="Z183" t="b">
            <v>0</v>
          </cell>
          <cell r="AA183" t="b">
            <v>0</v>
          </cell>
        </row>
        <row r="184">
          <cell r="Z184" t="b">
            <v>0</v>
          </cell>
          <cell r="AA184" t="b">
            <v>0</v>
          </cell>
        </row>
        <row r="185">
          <cell r="Z185" t="b">
            <v>0</v>
          </cell>
          <cell r="AA185" t="b">
            <v>0</v>
          </cell>
        </row>
        <row r="186">
          <cell r="Z186" t="b">
            <v>0</v>
          </cell>
          <cell r="AA186" t="b">
            <v>0</v>
          </cell>
        </row>
        <row r="187">
          <cell r="Z187" t="b">
            <v>0</v>
          </cell>
          <cell r="AA187" t="b">
            <v>0</v>
          </cell>
        </row>
        <row r="188">
          <cell r="Z188" t="b">
            <v>0</v>
          </cell>
          <cell r="AA188" t="b">
            <v>0</v>
          </cell>
        </row>
        <row r="189">
          <cell r="Z189" t="b">
            <v>0</v>
          </cell>
          <cell r="AA189" t="b">
            <v>0</v>
          </cell>
        </row>
        <row r="190">
          <cell r="Z190" t="b">
            <v>0</v>
          </cell>
          <cell r="AA190" t="b">
            <v>0</v>
          </cell>
        </row>
        <row r="191">
          <cell r="Z191" t="b">
            <v>0</v>
          </cell>
          <cell r="AA191" t="b">
            <v>0</v>
          </cell>
        </row>
        <row r="192">
          <cell r="Z192" t="b">
            <v>0</v>
          </cell>
          <cell r="AA192" t="b">
            <v>0</v>
          </cell>
        </row>
        <row r="193">
          <cell r="Z193" t="b">
            <v>0</v>
          </cell>
          <cell r="AA193" t="b">
            <v>0</v>
          </cell>
        </row>
        <row r="194">
          <cell r="Z194" t="b">
            <v>0</v>
          </cell>
          <cell r="AA194" t="b">
            <v>0</v>
          </cell>
        </row>
        <row r="195">
          <cell r="Z195" t="b">
            <v>0</v>
          </cell>
          <cell r="AA195" t="b">
            <v>0</v>
          </cell>
        </row>
        <row r="196">
          <cell r="Z196" t="b">
            <v>0</v>
          </cell>
          <cell r="AA196" t="b">
            <v>0</v>
          </cell>
        </row>
        <row r="197">
          <cell r="Z197" t="b">
            <v>0</v>
          </cell>
          <cell r="AA197" t="b">
            <v>0</v>
          </cell>
        </row>
        <row r="198">
          <cell r="Z198" t="b">
            <v>0</v>
          </cell>
          <cell r="AA198" t="b">
            <v>0</v>
          </cell>
        </row>
        <row r="199">
          <cell r="Z199" t="b">
            <v>0</v>
          </cell>
          <cell r="AA199" t="b">
            <v>0</v>
          </cell>
        </row>
        <row r="200">
          <cell r="Z200" t="b">
            <v>0</v>
          </cell>
          <cell r="AA200" t="b">
            <v>0</v>
          </cell>
        </row>
        <row r="201">
          <cell r="Z201" t="b">
            <v>0</v>
          </cell>
          <cell r="AA201" t="b">
            <v>0</v>
          </cell>
        </row>
        <row r="202">
          <cell r="Z202" t="b">
            <v>0</v>
          </cell>
          <cell r="AA202" t="b">
            <v>0</v>
          </cell>
        </row>
        <row r="203">
          <cell r="Z203" t="b">
            <v>0</v>
          </cell>
          <cell r="AA203" t="b">
            <v>0</v>
          </cell>
        </row>
        <row r="204">
          <cell r="Z204" t="b">
            <v>0</v>
          </cell>
          <cell r="AA204" t="b">
            <v>0</v>
          </cell>
        </row>
        <row r="205">
          <cell r="Z205" t="b">
            <v>0</v>
          </cell>
          <cell r="AA205" t="b">
            <v>0</v>
          </cell>
        </row>
        <row r="206">
          <cell r="Z206" t="b">
            <v>0</v>
          </cell>
          <cell r="AA206" t="b">
            <v>0</v>
          </cell>
        </row>
        <row r="207">
          <cell r="Z207" t="b">
            <v>0</v>
          </cell>
          <cell r="AA207" t="b">
            <v>0</v>
          </cell>
        </row>
        <row r="208">
          <cell r="Z208" t="b">
            <v>0</v>
          </cell>
          <cell r="AA208" t="b">
            <v>0</v>
          </cell>
        </row>
        <row r="209">
          <cell r="Z209" t="b">
            <v>0</v>
          </cell>
          <cell r="AA209" t="b">
            <v>0</v>
          </cell>
        </row>
        <row r="210">
          <cell r="Z210" t="b">
            <v>0</v>
          </cell>
          <cell r="AA210" t="b">
            <v>0</v>
          </cell>
        </row>
        <row r="211">
          <cell r="Z211" t="b">
            <v>0</v>
          </cell>
          <cell r="AA211" t="b">
            <v>0</v>
          </cell>
        </row>
        <row r="212">
          <cell r="Z212" t="b">
            <v>0</v>
          </cell>
          <cell r="AA212" t="b">
            <v>0</v>
          </cell>
        </row>
        <row r="213">
          <cell r="Z213" t="b">
            <v>0</v>
          </cell>
          <cell r="AA213" t="b">
            <v>0</v>
          </cell>
        </row>
        <row r="214">
          <cell r="Z214" t="b">
            <v>0</v>
          </cell>
          <cell r="AA214" t="b">
            <v>0</v>
          </cell>
        </row>
        <row r="215">
          <cell r="Z215" t="b">
            <v>0</v>
          </cell>
          <cell r="AA215" t="b">
            <v>0</v>
          </cell>
        </row>
        <row r="216">
          <cell r="Z216" t="b">
            <v>0</v>
          </cell>
          <cell r="AA216" t="b">
            <v>0</v>
          </cell>
        </row>
        <row r="217">
          <cell r="Z217" t="b">
            <v>0</v>
          </cell>
          <cell r="AA217" t="b">
            <v>0</v>
          </cell>
        </row>
        <row r="218">
          <cell r="Z218" t="b">
            <v>0</v>
          </cell>
          <cell r="AA218" t="b">
            <v>0</v>
          </cell>
        </row>
        <row r="219">
          <cell r="Z219" t="b">
            <v>0</v>
          </cell>
          <cell r="AA219" t="b">
            <v>0</v>
          </cell>
        </row>
        <row r="220">
          <cell r="Z220" t="b">
            <v>0</v>
          </cell>
          <cell r="AA220" t="b">
            <v>0</v>
          </cell>
        </row>
        <row r="221">
          <cell r="Z221" t="b">
            <v>0</v>
          </cell>
          <cell r="AA221" t="b">
            <v>0</v>
          </cell>
        </row>
        <row r="222">
          <cell r="Z222" t="b">
            <v>0</v>
          </cell>
          <cell r="AA222" t="b">
            <v>0</v>
          </cell>
        </row>
        <row r="223">
          <cell r="Z223" t="b">
            <v>0</v>
          </cell>
          <cell r="AA223" t="b">
            <v>0</v>
          </cell>
        </row>
        <row r="224">
          <cell r="Z224" t="b">
            <v>0</v>
          </cell>
          <cell r="AA224" t="b">
            <v>0</v>
          </cell>
        </row>
        <row r="225">
          <cell r="Z225" t="b">
            <v>0</v>
          </cell>
          <cell r="AA225" t="b">
            <v>0</v>
          </cell>
        </row>
        <row r="226">
          <cell r="Z226" t="b">
            <v>0</v>
          </cell>
          <cell r="AA226" t="b">
            <v>0</v>
          </cell>
        </row>
        <row r="227">
          <cell r="Z227" t="b">
            <v>0</v>
          </cell>
          <cell r="AA227" t="b">
            <v>0</v>
          </cell>
        </row>
        <row r="228">
          <cell r="Z228" t="b">
            <v>0</v>
          </cell>
          <cell r="AA228" t="b">
            <v>0</v>
          </cell>
        </row>
        <row r="229">
          <cell r="Z229" t="b">
            <v>0</v>
          </cell>
          <cell r="AA229" t="b">
            <v>0</v>
          </cell>
        </row>
        <row r="230">
          <cell r="Z230" t="b">
            <v>0</v>
          </cell>
          <cell r="AA230" t="b">
            <v>0</v>
          </cell>
        </row>
        <row r="231">
          <cell r="Z231" t="b">
            <v>0</v>
          </cell>
          <cell r="AA231" t="b">
            <v>0</v>
          </cell>
        </row>
        <row r="232">
          <cell r="Z232" t="b">
            <v>0</v>
          </cell>
          <cell r="AA232" t="b">
            <v>0</v>
          </cell>
        </row>
        <row r="233">
          <cell r="Z233" t="b">
            <v>0</v>
          </cell>
          <cell r="AA233" t="b">
            <v>0</v>
          </cell>
        </row>
        <row r="234">
          <cell r="Z234" t="b">
            <v>0</v>
          </cell>
          <cell r="AA234" t="b">
            <v>0</v>
          </cell>
        </row>
        <row r="235">
          <cell r="Z235" t="b">
            <v>0</v>
          </cell>
          <cell r="AA235" t="b">
            <v>0</v>
          </cell>
        </row>
        <row r="236">
          <cell r="Z236" t="b">
            <v>0</v>
          </cell>
          <cell r="AA236" t="b">
            <v>0</v>
          </cell>
        </row>
        <row r="237">
          <cell r="Z237" t="b">
            <v>0</v>
          </cell>
          <cell r="AA237" t="b">
            <v>0</v>
          </cell>
        </row>
        <row r="238">
          <cell r="Z238" t="b">
            <v>0</v>
          </cell>
          <cell r="AA238" t="b">
            <v>0</v>
          </cell>
        </row>
        <row r="239">
          <cell r="Z239" t="b">
            <v>0</v>
          </cell>
          <cell r="AA239" t="b">
            <v>0</v>
          </cell>
        </row>
        <row r="240">
          <cell r="Z240" t="b">
            <v>0</v>
          </cell>
          <cell r="AA240" t="b">
            <v>0</v>
          </cell>
        </row>
        <row r="241">
          <cell r="Z241" t="b">
            <v>0</v>
          </cell>
          <cell r="AA241" t="b">
            <v>0</v>
          </cell>
        </row>
        <row r="242">
          <cell r="Z242" t="b">
            <v>0</v>
          </cell>
          <cell r="AA242" t="b">
            <v>0</v>
          </cell>
        </row>
        <row r="243">
          <cell r="Z243" t="b">
            <v>0</v>
          </cell>
          <cell r="AA243" t="b">
            <v>0</v>
          </cell>
        </row>
        <row r="244">
          <cell r="Z244" t="b">
            <v>0</v>
          </cell>
          <cell r="AA244" t="b">
            <v>0</v>
          </cell>
        </row>
        <row r="245">
          <cell r="Z245" t="b">
            <v>0</v>
          </cell>
          <cell r="AA245" t="b">
            <v>0</v>
          </cell>
        </row>
        <row r="246">
          <cell r="Z246" t="b">
            <v>0</v>
          </cell>
          <cell r="AA246" t="b">
            <v>0</v>
          </cell>
        </row>
        <row r="247">
          <cell r="Z247" t="b">
            <v>0</v>
          </cell>
          <cell r="AA247" t="b">
            <v>0</v>
          </cell>
        </row>
        <row r="248">
          <cell r="Z248" t="b">
            <v>0</v>
          </cell>
          <cell r="AA248" t="b">
            <v>0</v>
          </cell>
        </row>
        <row r="249">
          <cell r="Z249" t="b">
            <v>0</v>
          </cell>
          <cell r="AA249" t="b">
            <v>0</v>
          </cell>
        </row>
        <row r="250">
          <cell r="Z250" t="b">
            <v>0</v>
          </cell>
          <cell r="AA250" t="b">
            <v>0</v>
          </cell>
        </row>
        <row r="251">
          <cell r="Z251" t="b">
            <v>0</v>
          </cell>
          <cell r="AA251" t="b">
            <v>0</v>
          </cell>
        </row>
        <row r="252">
          <cell r="Z252" t="b">
            <v>0</v>
          </cell>
          <cell r="AA252" t="b">
            <v>0</v>
          </cell>
        </row>
        <row r="253">
          <cell r="Z253" t="b">
            <v>0</v>
          </cell>
          <cell r="AA253" t="b">
            <v>0</v>
          </cell>
        </row>
        <row r="254">
          <cell r="Z254" t="b">
            <v>0</v>
          </cell>
          <cell r="AA254" t="b">
            <v>0</v>
          </cell>
        </row>
        <row r="255">
          <cell r="Z255" t="b">
            <v>0</v>
          </cell>
          <cell r="AA255" t="b">
            <v>0</v>
          </cell>
        </row>
        <row r="256">
          <cell r="Z256" t="b">
            <v>0</v>
          </cell>
          <cell r="AA256" t="b">
            <v>0</v>
          </cell>
        </row>
        <row r="257">
          <cell r="Z257" t="b">
            <v>0</v>
          </cell>
          <cell r="AA257" t="b">
            <v>0</v>
          </cell>
        </row>
        <row r="258">
          <cell r="Z258" t="b">
            <v>0</v>
          </cell>
          <cell r="AA258" t="b">
            <v>0</v>
          </cell>
        </row>
        <row r="259">
          <cell r="Z259" t="b">
            <v>0</v>
          </cell>
          <cell r="AA259" t="b">
            <v>0</v>
          </cell>
        </row>
        <row r="260">
          <cell r="Z260" t="b">
            <v>0</v>
          </cell>
          <cell r="AA260" t="b">
            <v>0</v>
          </cell>
        </row>
        <row r="261">
          <cell r="Z261" t="b">
            <v>0</v>
          </cell>
          <cell r="AA261" t="b">
            <v>0</v>
          </cell>
        </row>
        <row r="262">
          <cell r="Z262" t="b">
            <v>0</v>
          </cell>
          <cell r="AA262" t="b">
            <v>0</v>
          </cell>
        </row>
        <row r="263">
          <cell r="Z263" t="b">
            <v>0</v>
          </cell>
          <cell r="AA263" t="b">
            <v>0</v>
          </cell>
        </row>
        <row r="264">
          <cell r="Z264" t="b">
            <v>0</v>
          </cell>
          <cell r="AA264" t="b">
            <v>0</v>
          </cell>
        </row>
        <row r="265">
          <cell r="Z265" t="b">
            <v>0</v>
          </cell>
          <cell r="AA265" t="b">
            <v>0</v>
          </cell>
        </row>
        <row r="266">
          <cell r="Z266" t="b">
            <v>0</v>
          </cell>
          <cell r="AA266" t="b">
            <v>0</v>
          </cell>
        </row>
        <row r="267">
          <cell r="Z267" t="b">
            <v>0</v>
          </cell>
          <cell r="AA267" t="b">
            <v>0</v>
          </cell>
        </row>
        <row r="268">
          <cell r="Z268" t="b">
            <v>0</v>
          </cell>
          <cell r="AA268" t="b">
            <v>0</v>
          </cell>
        </row>
        <row r="269">
          <cell r="Z269" t="b">
            <v>0</v>
          </cell>
          <cell r="AA269" t="b">
            <v>0</v>
          </cell>
        </row>
        <row r="270">
          <cell r="Z270" t="b">
            <v>0</v>
          </cell>
          <cell r="AA270" t="b">
            <v>0</v>
          </cell>
        </row>
        <row r="271">
          <cell r="Z271" t="b">
            <v>0</v>
          </cell>
          <cell r="AA271" t="b">
            <v>0</v>
          </cell>
        </row>
        <row r="272">
          <cell r="Z272" t="b">
            <v>0</v>
          </cell>
          <cell r="AA272" t="b">
            <v>0</v>
          </cell>
        </row>
        <row r="273">
          <cell r="Z273" t="b">
            <v>0</v>
          </cell>
          <cell r="AA273" t="b">
            <v>0</v>
          </cell>
        </row>
        <row r="274">
          <cell r="Z274" t="b">
            <v>0</v>
          </cell>
          <cell r="AA274" t="b">
            <v>0</v>
          </cell>
        </row>
        <row r="275">
          <cell r="Z275" t="b">
            <v>0</v>
          </cell>
          <cell r="AA275" t="b">
            <v>0</v>
          </cell>
        </row>
        <row r="276">
          <cell r="Z276" t="b">
            <v>0</v>
          </cell>
          <cell r="AA276" t="b">
            <v>0</v>
          </cell>
        </row>
        <row r="277">
          <cell r="Z277" t="b">
            <v>0</v>
          </cell>
          <cell r="AA277" t="b">
            <v>0</v>
          </cell>
        </row>
        <row r="278">
          <cell r="Z278" t="b">
            <v>0</v>
          </cell>
          <cell r="AA278" t="b">
            <v>0</v>
          </cell>
        </row>
        <row r="279">
          <cell r="Z279" t="b">
            <v>0</v>
          </cell>
          <cell r="AA279" t="b">
            <v>0</v>
          </cell>
        </row>
        <row r="280">
          <cell r="Z280" t="b">
            <v>0</v>
          </cell>
          <cell r="AA280" t="b">
            <v>0</v>
          </cell>
        </row>
        <row r="281">
          <cell r="Z281" t="b">
            <v>0</v>
          </cell>
          <cell r="AA281" t="b">
            <v>0</v>
          </cell>
        </row>
        <row r="282">
          <cell r="Z282" t="b">
            <v>0</v>
          </cell>
          <cell r="AA282" t="b">
            <v>0</v>
          </cell>
        </row>
        <row r="283">
          <cell r="Z283" t="b">
            <v>0</v>
          </cell>
          <cell r="AA283" t="b">
            <v>0</v>
          </cell>
        </row>
        <row r="284">
          <cell r="Z284" t="b">
            <v>0</v>
          </cell>
          <cell r="AA284" t="b">
            <v>0</v>
          </cell>
        </row>
        <row r="285">
          <cell r="Z285" t="b">
            <v>0</v>
          </cell>
          <cell r="AA285" t="b">
            <v>0</v>
          </cell>
        </row>
        <row r="286">
          <cell r="Z286" t="b">
            <v>0</v>
          </cell>
          <cell r="AA286" t="b">
            <v>0</v>
          </cell>
        </row>
        <row r="287">
          <cell r="Z287" t="b">
            <v>0</v>
          </cell>
          <cell r="AA287" t="b">
            <v>0</v>
          </cell>
        </row>
        <row r="288">
          <cell r="Z288" t="b">
            <v>0</v>
          </cell>
          <cell r="AA288" t="b">
            <v>0</v>
          </cell>
        </row>
        <row r="289">
          <cell r="Z289" t="b">
            <v>0</v>
          </cell>
          <cell r="AA289" t="b">
            <v>0</v>
          </cell>
        </row>
        <row r="290">
          <cell r="Z290" t="b">
            <v>0</v>
          </cell>
          <cell r="AA290" t="b">
            <v>0</v>
          </cell>
        </row>
        <row r="291">
          <cell r="Z291" t="b">
            <v>0</v>
          </cell>
          <cell r="AA291" t="b">
            <v>0</v>
          </cell>
        </row>
        <row r="292">
          <cell r="Z292" t="b">
            <v>0</v>
          </cell>
          <cell r="AA292" t="b">
            <v>0</v>
          </cell>
        </row>
        <row r="293">
          <cell r="Z293" t="b">
            <v>0</v>
          </cell>
          <cell r="AA293" t="b">
            <v>0</v>
          </cell>
        </row>
        <row r="294">
          <cell r="Z294" t="b">
            <v>0</v>
          </cell>
          <cell r="AA294" t="b">
            <v>0</v>
          </cell>
        </row>
        <row r="295">
          <cell r="Z295" t="b">
            <v>0</v>
          </cell>
          <cell r="AA295" t="b">
            <v>0</v>
          </cell>
        </row>
        <row r="296">
          <cell r="Z296" t="b">
            <v>0</v>
          </cell>
          <cell r="AA296" t="b">
            <v>0</v>
          </cell>
        </row>
        <row r="297">
          <cell r="Z297" t="b">
            <v>0</v>
          </cell>
          <cell r="AA297" t="b">
            <v>0</v>
          </cell>
        </row>
        <row r="298">
          <cell r="Z298" t="b">
            <v>0</v>
          </cell>
          <cell r="AA298" t="b">
            <v>0</v>
          </cell>
        </row>
        <row r="299">
          <cell r="Z299" t="b">
            <v>0</v>
          </cell>
          <cell r="AA299" t="b">
            <v>0</v>
          </cell>
        </row>
        <row r="300">
          <cell r="Z300" t="b">
            <v>0</v>
          </cell>
          <cell r="AA300" t="b">
            <v>0</v>
          </cell>
        </row>
        <row r="301">
          <cell r="Z301" t="b">
            <v>0</v>
          </cell>
          <cell r="AA301" t="b">
            <v>0</v>
          </cell>
        </row>
        <row r="302">
          <cell r="Z302" t="b">
            <v>0</v>
          </cell>
          <cell r="AA302" t="b">
            <v>0</v>
          </cell>
        </row>
        <row r="303">
          <cell r="Z303" t="b">
            <v>0</v>
          </cell>
          <cell r="AA303" t="b">
            <v>0</v>
          </cell>
        </row>
        <row r="304">
          <cell r="Z304" t="b">
            <v>0</v>
          </cell>
          <cell r="AA304" t="b">
            <v>0</v>
          </cell>
        </row>
        <row r="305">
          <cell r="Z305" t="b">
            <v>0</v>
          </cell>
          <cell r="AA305" t="b">
            <v>0</v>
          </cell>
        </row>
        <row r="306">
          <cell r="Z306" t="b">
            <v>0</v>
          </cell>
          <cell r="AA306" t="b">
            <v>0</v>
          </cell>
        </row>
        <row r="307">
          <cell r="Z307" t="b">
            <v>0</v>
          </cell>
          <cell r="AA307" t="b">
            <v>0</v>
          </cell>
        </row>
        <row r="308">
          <cell r="Z308" t="b">
            <v>0</v>
          </cell>
          <cell r="AA308" t="b">
            <v>0</v>
          </cell>
        </row>
        <row r="309">
          <cell r="Z309" t="b">
            <v>0</v>
          </cell>
          <cell r="AA309" t="b">
            <v>0</v>
          </cell>
        </row>
        <row r="310">
          <cell r="Z310" t="b">
            <v>0</v>
          </cell>
          <cell r="AA310" t="b">
            <v>0</v>
          </cell>
        </row>
        <row r="311">
          <cell r="Z311" t="b">
            <v>0</v>
          </cell>
          <cell r="AA311" t="b">
            <v>0</v>
          </cell>
        </row>
        <row r="312">
          <cell r="Z312" t="b">
            <v>0</v>
          </cell>
          <cell r="AA312" t="b">
            <v>0</v>
          </cell>
        </row>
        <row r="313">
          <cell r="Z313" t="b">
            <v>0</v>
          </cell>
          <cell r="AA313" t="b">
            <v>0</v>
          </cell>
        </row>
        <row r="314">
          <cell r="Z314" t="b">
            <v>0</v>
          </cell>
          <cell r="AA314" t="b">
            <v>0</v>
          </cell>
        </row>
        <row r="315">
          <cell r="Z315" t="b">
            <v>0</v>
          </cell>
          <cell r="AA315" t="b">
            <v>0</v>
          </cell>
        </row>
        <row r="316">
          <cell r="Z316" t="b">
            <v>0</v>
          </cell>
          <cell r="AA316" t="b">
            <v>0</v>
          </cell>
        </row>
        <row r="317">
          <cell r="Z317" t="b">
            <v>0</v>
          </cell>
          <cell r="AA317" t="b">
            <v>0</v>
          </cell>
        </row>
        <row r="318">
          <cell r="Z318" t="b">
            <v>0</v>
          </cell>
          <cell r="AA318" t="b">
            <v>0</v>
          </cell>
        </row>
        <row r="319">
          <cell r="Z319" t="b">
            <v>0</v>
          </cell>
          <cell r="AA319" t="b">
            <v>0</v>
          </cell>
        </row>
        <row r="320">
          <cell r="Z320" t="b">
            <v>0</v>
          </cell>
          <cell r="AA320" t="b">
            <v>0</v>
          </cell>
        </row>
        <row r="321">
          <cell r="Z321" t="b">
            <v>0</v>
          </cell>
          <cell r="AA321" t="b">
            <v>0</v>
          </cell>
        </row>
        <row r="322">
          <cell r="Z322" t="b">
            <v>0</v>
          </cell>
          <cell r="AA322" t="b">
            <v>0</v>
          </cell>
        </row>
        <row r="323">
          <cell r="Z323" t="b">
            <v>0</v>
          </cell>
          <cell r="AA323" t="b">
            <v>0</v>
          </cell>
        </row>
        <row r="324">
          <cell r="Z324" t="b">
            <v>0</v>
          </cell>
          <cell r="AA324" t="b">
            <v>0</v>
          </cell>
        </row>
        <row r="325">
          <cell r="Z325" t="b">
            <v>0</v>
          </cell>
          <cell r="AA325" t="b">
            <v>0</v>
          </cell>
        </row>
        <row r="326">
          <cell r="Z326" t="b">
            <v>0</v>
          </cell>
          <cell r="AA326" t="b">
            <v>0</v>
          </cell>
        </row>
        <row r="327">
          <cell r="Z327" t="b">
            <v>0</v>
          </cell>
          <cell r="AA327" t="b">
            <v>0</v>
          </cell>
        </row>
        <row r="328">
          <cell r="Z328" t="b">
            <v>0</v>
          </cell>
          <cell r="AA328" t="b">
            <v>0</v>
          </cell>
        </row>
        <row r="329">
          <cell r="Z329" t="b">
            <v>0</v>
          </cell>
          <cell r="AA329" t="b">
            <v>0</v>
          </cell>
        </row>
        <row r="330">
          <cell r="Z330" t="b">
            <v>0</v>
          </cell>
          <cell r="AA330" t="b">
            <v>0</v>
          </cell>
        </row>
        <row r="331">
          <cell r="Z331" t="b">
            <v>0</v>
          </cell>
          <cell r="AA331" t="b">
            <v>0</v>
          </cell>
        </row>
        <row r="332">
          <cell r="Z332" t="b">
            <v>0</v>
          </cell>
          <cell r="AA332" t="b">
            <v>0</v>
          </cell>
        </row>
        <row r="333">
          <cell r="Z333" t="b">
            <v>0</v>
          </cell>
          <cell r="AA333" t="b">
            <v>0</v>
          </cell>
        </row>
        <row r="334">
          <cell r="Z334" t="b">
            <v>0</v>
          </cell>
          <cell r="AA334" t="b">
            <v>0</v>
          </cell>
        </row>
        <row r="335">
          <cell r="Z335" t="b">
            <v>0</v>
          </cell>
          <cell r="AA335" t="b">
            <v>0</v>
          </cell>
        </row>
        <row r="336">
          <cell r="Z336" t="b">
            <v>0</v>
          </cell>
          <cell r="AA336" t="b">
            <v>0</v>
          </cell>
        </row>
        <row r="337">
          <cell r="Z337" t="b">
            <v>0</v>
          </cell>
          <cell r="AA337" t="b">
            <v>0</v>
          </cell>
        </row>
        <row r="338">
          <cell r="Z338" t="b">
            <v>0</v>
          </cell>
          <cell r="AA338" t="b">
            <v>0</v>
          </cell>
        </row>
        <row r="339">
          <cell r="Z339" t="b">
            <v>0</v>
          </cell>
          <cell r="AA339" t="b">
            <v>0</v>
          </cell>
        </row>
        <row r="340">
          <cell r="Z340" t="b">
            <v>0</v>
          </cell>
          <cell r="AA340" t="b">
            <v>0</v>
          </cell>
        </row>
        <row r="341">
          <cell r="Z341" t="b">
            <v>0</v>
          </cell>
          <cell r="AA341" t="b">
            <v>0</v>
          </cell>
        </row>
        <row r="342">
          <cell r="Z342" t="b">
            <v>0</v>
          </cell>
          <cell r="AA342" t="b">
            <v>0</v>
          </cell>
        </row>
        <row r="343">
          <cell r="Z343" t="b">
            <v>0</v>
          </cell>
          <cell r="AA343" t="b">
            <v>0</v>
          </cell>
        </row>
        <row r="344">
          <cell r="Z344" t="b">
            <v>0</v>
          </cell>
          <cell r="AA344" t="b">
            <v>0</v>
          </cell>
        </row>
        <row r="345">
          <cell r="Z345" t="b">
            <v>0</v>
          </cell>
          <cell r="AA345" t="b">
            <v>0</v>
          </cell>
        </row>
        <row r="346">
          <cell r="Z346" t="b">
            <v>0</v>
          </cell>
          <cell r="AA346" t="b">
            <v>0</v>
          </cell>
        </row>
        <row r="347">
          <cell r="Z347" t="b">
            <v>0</v>
          </cell>
          <cell r="AA347" t="b">
            <v>0</v>
          </cell>
        </row>
        <row r="348">
          <cell r="Z348" t="b">
            <v>0</v>
          </cell>
          <cell r="AA348" t="b">
            <v>0</v>
          </cell>
        </row>
        <row r="349">
          <cell r="Z349" t="b">
            <v>0</v>
          </cell>
          <cell r="AA349" t="b">
            <v>0</v>
          </cell>
        </row>
        <row r="350">
          <cell r="Z350" t="b">
            <v>0</v>
          </cell>
          <cell r="AA350" t="b">
            <v>0</v>
          </cell>
        </row>
        <row r="351">
          <cell r="Z351" t="b">
            <v>0</v>
          </cell>
          <cell r="AA351" t="b">
            <v>0</v>
          </cell>
        </row>
        <row r="352">
          <cell r="Z352" t="b">
            <v>0</v>
          </cell>
          <cell r="AA352" t="b">
            <v>0</v>
          </cell>
        </row>
        <row r="353">
          <cell r="Z353" t="b">
            <v>0</v>
          </cell>
          <cell r="AA353" t="b">
            <v>0</v>
          </cell>
        </row>
        <row r="354">
          <cell r="Z354" t="b">
            <v>0</v>
          </cell>
          <cell r="AA354" t="b">
            <v>0</v>
          </cell>
        </row>
        <row r="355">
          <cell r="Z355" t="b">
            <v>0</v>
          </cell>
          <cell r="AA355" t="b">
            <v>0</v>
          </cell>
        </row>
        <row r="356">
          <cell r="Z356" t="b">
            <v>0</v>
          </cell>
          <cell r="AA356" t="b">
            <v>0</v>
          </cell>
        </row>
        <row r="357">
          <cell r="Z357" t="b">
            <v>0</v>
          </cell>
          <cell r="AA357" t="b">
            <v>0</v>
          </cell>
        </row>
        <row r="358">
          <cell r="Z358" t="b">
            <v>0</v>
          </cell>
          <cell r="AA358" t="b">
            <v>0</v>
          </cell>
        </row>
        <row r="359">
          <cell r="Z359" t="b">
            <v>0</v>
          </cell>
          <cell r="AA359" t="b">
            <v>0</v>
          </cell>
        </row>
        <row r="360">
          <cell r="Z360" t="b">
            <v>0</v>
          </cell>
          <cell r="AA360" t="b">
            <v>0</v>
          </cell>
        </row>
        <row r="361">
          <cell r="Z361" t="b">
            <v>0</v>
          </cell>
          <cell r="AA361" t="b">
            <v>0</v>
          </cell>
        </row>
        <row r="362">
          <cell r="Z362" t="b">
            <v>0</v>
          </cell>
          <cell r="AA362" t="b">
            <v>0</v>
          </cell>
        </row>
        <row r="363">
          <cell r="Z363" t="b">
            <v>0</v>
          </cell>
          <cell r="AA363" t="b">
            <v>0</v>
          </cell>
        </row>
        <row r="364">
          <cell r="Z364" t="b">
            <v>0</v>
          </cell>
          <cell r="AA364" t="b">
            <v>0</v>
          </cell>
        </row>
        <row r="365">
          <cell r="Z365" t="b">
            <v>0</v>
          </cell>
          <cell r="AA365" t="b">
            <v>0</v>
          </cell>
        </row>
        <row r="366">
          <cell r="Z366" t="b">
            <v>0</v>
          </cell>
          <cell r="AA366" t="b">
            <v>0</v>
          </cell>
        </row>
        <row r="367">
          <cell r="Z367" t="b">
            <v>0</v>
          </cell>
          <cell r="AA367" t="b">
            <v>0</v>
          </cell>
        </row>
        <row r="368">
          <cell r="Z368" t="b">
            <v>0</v>
          </cell>
          <cell r="AA368" t="b">
            <v>0</v>
          </cell>
        </row>
        <row r="369">
          <cell r="Z369" t="b">
            <v>0</v>
          </cell>
          <cell r="AA369" t="b">
            <v>0</v>
          </cell>
        </row>
        <row r="370">
          <cell r="Z370" t="b">
            <v>0</v>
          </cell>
          <cell r="AA370" t="b">
            <v>0</v>
          </cell>
        </row>
        <row r="371">
          <cell r="Z371" t="b">
            <v>0</v>
          </cell>
          <cell r="AA371" t="b">
            <v>0</v>
          </cell>
        </row>
        <row r="372">
          <cell r="Z372" t="b">
            <v>0</v>
          </cell>
          <cell r="AA372" t="b">
            <v>0</v>
          </cell>
        </row>
        <row r="373">
          <cell r="Z373" t="b">
            <v>0</v>
          </cell>
          <cell r="AA373" t="b">
            <v>0</v>
          </cell>
        </row>
        <row r="374">
          <cell r="Z374" t="b">
            <v>0</v>
          </cell>
          <cell r="AA374" t="b">
            <v>0</v>
          </cell>
        </row>
        <row r="375">
          <cell r="Z375" t="b">
            <v>0</v>
          </cell>
          <cell r="AA375" t="b">
            <v>0</v>
          </cell>
        </row>
        <row r="376">
          <cell r="Z376" t="b">
            <v>0</v>
          </cell>
          <cell r="AA376" t="b">
            <v>0</v>
          </cell>
        </row>
        <row r="377">
          <cell r="Z377" t="b">
            <v>0</v>
          </cell>
          <cell r="AA377" t="b">
            <v>0</v>
          </cell>
        </row>
        <row r="378">
          <cell r="Z378" t="b">
            <v>0</v>
          </cell>
          <cell r="AA378" t="b">
            <v>0</v>
          </cell>
        </row>
        <row r="379">
          <cell r="Z379" t="b">
            <v>0</v>
          </cell>
          <cell r="AA379" t="b">
            <v>0</v>
          </cell>
        </row>
        <row r="380">
          <cell r="Z380" t="b">
            <v>0</v>
          </cell>
          <cell r="AA380" t="b">
            <v>0</v>
          </cell>
        </row>
        <row r="381">
          <cell r="Z381" t="b">
            <v>0</v>
          </cell>
          <cell r="AA381" t="b">
            <v>0</v>
          </cell>
        </row>
        <row r="382">
          <cell r="Z382" t="b">
            <v>0</v>
          </cell>
          <cell r="AA382" t="b">
            <v>0</v>
          </cell>
        </row>
        <row r="383">
          <cell r="Z383" t="b">
            <v>0</v>
          </cell>
          <cell r="AA383" t="b">
            <v>0</v>
          </cell>
        </row>
        <row r="384">
          <cell r="Z384" t="b">
            <v>0</v>
          </cell>
          <cell r="AA384" t="b">
            <v>0</v>
          </cell>
        </row>
        <row r="385">
          <cell r="Z385" t="b">
            <v>0</v>
          </cell>
          <cell r="AA385" t="b">
            <v>0</v>
          </cell>
        </row>
        <row r="386">
          <cell r="Z386" t="b">
            <v>0</v>
          </cell>
          <cell r="AA386" t="b">
            <v>0</v>
          </cell>
        </row>
        <row r="387">
          <cell r="Z387" t="b">
            <v>0</v>
          </cell>
          <cell r="AA387" t="b">
            <v>0</v>
          </cell>
        </row>
        <row r="388">
          <cell r="Z388" t="b">
            <v>0</v>
          </cell>
          <cell r="AA388" t="b">
            <v>0</v>
          </cell>
        </row>
        <row r="389">
          <cell r="Z389" t="b">
            <v>0</v>
          </cell>
          <cell r="AA389" t="b">
            <v>0</v>
          </cell>
        </row>
        <row r="390">
          <cell r="Z390" t="b">
            <v>0</v>
          </cell>
          <cell r="AA390" t="b">
            <v>0</v>
          </cell>
        </row>
        <row r="391">
          <cell r="Z391" t="b">
            <v>0</v>
          </cell>
          <cell r="AA391" t="b">
            <v>0</v>
          </cell>
        </row>
        <row r="392">
          <cell r="Z392" t="b">
            <v>0</v>
          </cell>
          <cell r="AA392" t="b">
            <v>0</v>
          </cell>
        </row>
        <row r="393">
          <cell r="Z393" t="b">
            <v>0</v>
          </cell>
          <cell r="AA393" t="b">
            <v>0</v>
          </cell>
        </row>
        <row r="394">
          <cell r="Z394" t="b">
            <v>0</v>
          </cell>
          <cell r="AA394" t="b">
            <v>0</v>
          </cell>
        </row>
        <row r="395">
          <cell r="Z395" t="b">
            <v>0</v>
          </cell>
          <cell r="AA395" t="b">
            <v>0</v>
          </cell>
        </row>
        <row r="396">
          <cell r="Z396" t="b">
            <v>0</v>
          </cell>
          <cell r="AA396" t="b">
            <v>0</v>
          </cell>
        </row>
        <row r="397">
          <cell r="Z397" t="b">
            <v>0</v>
          </cell>
          <cell r="AA397" t="b">
            <v>0</v>
          </cell>
        </row>
        <row r="398">
          <cell r="Z398" t="b">
            <v>0</v>
          </cell>
          <cell r="AA398" t="b">
            <v>0</v>
          </cell>
        </row>
        <row r="399">
          <cell r="Z399" t="b">
            <v>0</v>
          </cell>
          <cell r="AA399" t="b">
            <v>0</v>
          </cell>
        </row>
        <row r="400">
          <cell r="Z400" t="b">
            <v>0</v>
          </cell>
          <cell r="AA400" t="b">
            <v>0</v>
          </cell>
        </row>
        <row r="401">
          <cell r="Z401" t="b">
            <v>0</v>
          </cell>
          <cell r="AA401" t="b">
            <v>0</v>
          </cell>
        </row>
        <row r="402">
          <cell r="Z402" t="b">
            <v>0</v>
          </cell>
          <cell r="AA402" t="b">
            <v>0</v>
          </cell>
        </row>
        <row r="403">
          <cell r="Z403" t="b">
            <v>0</v>
          </cell>
          <cell r="AA403" t="b">
            <v>0</v>
          </cell>
        </row>
        <row r="404">
          <cell r="Z404" t="b">
            <v>0</v>
          </cell>
          <cell r="AA404" t="b">
            <v>0</v>
          </cell>
        </row>
        <row r="405">
          <cell r="Z405" t="b">
            <v>0</v>
          </cell>
          <cell r="AA405" t="b">
            <v>0</v>
          </cell>
        </row>
        <row r="406">
          <cell r="Z406" t="b">
            <v>0</v>
          </cell>
          <cell r="AA406" t="b">
            <v>0</v>
          </cell>
        </row>
        <row r="407">
          <cell r="Z407" t="b">
            <v>0</v>
          </cell>
          <cell r="AA407" t="b">
            <v>0</v>
          </cell>
        </row>
        <row r="408">
          <cell r="Z408" t="b">
            <v>0</v>
          </cell>
          <cell r="AA408" t="b">
            <v>0</v>
          </cell>
        </row>
        <row r="409">
          <cell r="Z409" t="b">
            <v>0</v>
          </cell>
          <cell r="AA409" t="b">
            <v>0</v>
          </cell>
        </row>
        <row r="410">
          <cell r="Z410" t="b">
            <v>0</v>
          </cell>
          <cell r="AA410" t="b">
            <v>0</v>
          </cell>
        </row>
        <row r="411">
          <cell r="Z411" t="b">
            <v>0</v>
          </cell>
          <cell r="AA411" t="b">
            <v>0</v>
          </cell>
        </row>
        <row r="412">
          <cell r="Z412" t="b">
            <v>0</v>
          </cell>
          <cell r="AA412" t="b">
            <v>0</v>
          </cell>
        </row>
        <row r="413">
          <cell r="Z413" t="b">
            <v>0</v>
          </cell>
          <cell r="AA413" t="b">
            <v>0</v>
          </cell>
        </row>
        <row r="414">
          <cell r="Z414" t="b">
            <v>0</v>
          </cell>
          <cell r="AA414" t="b">
            <v>0</v>
          </cell>
        </row>
        <row r="415">
          <cell r="Z415" t="b">
            <v>0</v>
          </cell>
          <cell r="AA415" t="b">
            <v>0</v>
          </cell>
        </row>
        <row r="416">
          <cell r="Z416" t="b">
            <v>0</v>
          </cell>
          <cell r="AA416" t="b">
            <v>0</v>
          </cell>
        </row>
        <row r="417">
          <cell r="Z417" t="b">
            <v>0</v>
          </cell>
          <cell r="AA417" t="b">
            <v>0</v>
          </cell>
        </row>
        <row r="418">
          <cell r="Z418" t="b">
            <v>0</v>
          </cell>
          <cell r="AA418" t="b">
            <v>0</v>
          </cell>
        </row>
        <row r="419">
          <cell r="Z419" t="b">
            <v>0</v>
          </cell>
          <cell r="AA419" t="b">
            <v>0</v>
          </cell>
        </row>
        <row r="420">
          <cell r="Z420" t="b">
            <v>0</v>
          </cell>
          <cell r="AA420" t="b">
            <v>0</v>
          </cell>
        </row>
        <row r="421">
          <cell r="Z421" t="b">
            <v>0</v>
          </cell>
          <cell r="AA421" t="b">
            <v>0</v>
          </cell>
        </row>
        <row r="422">
          <cell r="Z422" t="b">
            <v>0</v>
          </cell>
          <cell r="AA422" t="b">
            <v>0</v>
          </cell>
        </row>
        <row r="423">
          <cell r="Z423" t="b">
            <v>0</v>
          </cell>
          <cell r="AA423" t="b">
            <v>0</v>
          </cell>
        </row>
        <row r="424">
          <cell r="Z424" t="b">
            <v>0</v>
          </cell>
          <cell r="AA424" t="b">
            <v>0</v>
          </cell>
        </row>
        <row r="425">
          <cell r="Z425" t="b">
            <v>0</v>
          </cell>
          <cell r="AA425" t="b">
            <v>0</v>
          </cell>
        </row>
        <row r="426">
          <cell r="Z426" t="b">
            <v>0</v>
          </cell>
          <cell r="AA426" t="b">
            <v>0</v>
          </cell>
        </row>
        <row r="427">
          <cell r="Z427" t="b">
            <v>0</v>
          </cell>
          <cell r="AA427" t="b">
            <v>0</v>
          </cell>
        </row>
        <row r="428">
          <cell r="Z428" t="b">
            <v>0</v>
          </cell>
          <cell r="AA428" t="b">
            <v>0</v>
          </cell>
        </row>
        <row r="429">
          <cell r="Z429" t="b">
            <v>0</v>
          </cell>
          <cell r="AA429" t="b">
            <v>0</v>
          </cell>
        </row>
        <row r="430">
          <cell r="Z430" t="b">
            <v>0</v>
          </cell>
          <cell r="AA430" t="b">
            <v>0</v>
          </cell>
        </row>
        <row r="431">
          <cell r="Z431" t="b">
            <v>0</v>
          </cell>
          <cell r="AA431" t="b">
            <v>0</v>
          </cell>
        </row>
        <row r="432">
          <cell r="Z432" t="b">
            <v>0</v>
          </cell>
          <cell r="AA432" t="b">
            <v>0</v>
          </cell>
        </row>
        <row r="433">
          <cell r="Z433" t="b">
            <v>0</v>
          </cell>
          <cell r="AA433" t="b">
            <v>0</v>
          </cell>
        </row>
        <row r="434">
          <cell r="Z434" t="b">
            <v>0</v>
          </cell>
          <cell r="AA434" t="b">
            <v>0</v>
          </cell>
        </row>
        <row r="435">
          <cell r="Z435" t="b">
            <v>0</v>
          </cell>
          <cell r="AA435" t="b">
            <v>0</v>
          </cell>
        </row>
        <row r="436">
          <cell r="Z436" t="b">
            <v>0</v>
          </cell>
          <cell r="AA436" t="b">
            <v>0</v>
          </cell>
        </row>
        <row r="437">
          <cell r="Z437" t="b">
            <v>0</v>
          </cell>
          <cell r="AA437" t="b">
            <v>0</v>
          </cell>
        </row>
        <row r="438">
          <cell r="Z438" t="b">
            <v>0</v>
          </cell>
          <cell r="AA438" t="b">
            <v>0</v>
          </cell>
        </row>
        <row r="439">
          <cell r="Z439" t="b">
            <v>0</v>
          </cell>
          <cell r="AA439" t="b">
            <v>0</v>
          </cell>
        </row>
        <row r="440">
          <cell r="Z440" t="b">
            <v>0</v>
          </cell>
          <cell r="AA440" t="b">
            <v>0</v>
          </cell>
        </row>
        <row r="441">
          <cell r="Z441" t="b">
            <v>0</v>
          </cell>
          <cell r="AA441" t="b">
            <v>0</v>
          </cell>
        </row>
        <row r="442">
          <cell r="Z442" t="b">
            <v>0</v>
          </cell>
          <cell r="AA442" t="b">
            <v>0</v>
          </cell>
        </row>
        <row r="443">
          <cell r="Z443" t="b">
            <v>0</v>
          </cell>
          <cell r="AA443" t="b">
            <v>0</v>
          </cell>
        </row>
        <row r="444">
          <cell r="Z444" t="b">
            <v>0</v>
          </cell>
          <cell r="AA444" t="b">
            <v>0</v>
          </cell>
        </row>
        <row r="445">
          <cell r="Z445" t="b">
            <v>0</v>
          </cell>
          <cell r="AA445" t="b">
            <v>0</v>
          </cell>
        </row>
        <row r="446">
          <cell r="Z446" t="b">
            <v>0</v>
          </cell>
          <cell r="AA446" t="b">
            <v>0</v>
          </cell>
        </row>
        <row r="447">
          <cell r="Z447" t="b">
            <v>0</v>
          </cell>
          <cell r="AA447" t="b">
            <v>0</v>
          </cell>
        </row>
        <row r="448">
          <cell r="Z448" t="b">
            <v>0</v>
          </cell>
          <cell r="AA448" t="b">
            <v>0</v>
          </cell>
        </row>
        <row r="449">
          <cell r="Z449" t="b">
            <v>0</v>
          </cell>
          <cell r="AA449" t="b">
            <v>0</v>
          </cell>
        </row>
        <row r="450">
          <cell r="Z450" t="b">
            <v>0</v>
          </cell>
          <cell r="AA450" t="b">
            <v>0</v>
          </cell>
        </row>
        <row r="451">
          <cell r="Z451" t="b">
            <v>0</v>
          </cell>
          <cell r="AA451" t="b">
            <v>0</v>
          </cell>
        </row>
        <row r="452">
          <cell r="Z452" t="b">
            <v>0</v>
          </cell>
          <cell r="AA452" t="b">
            <v>0</v>
          </cell>
        </row>
        <row r="453">
          <cell r="Z453" t="b">
            <v>0</v>
          </cell>
          <cell r="AA453" t="b">
            <v>0</v>
          </cell>
        </row>
        <row r="454">
          <cell r="Z454" t="b">
            <v>0</v>
          </cell>
          <cell r="AA454" t="b">
            <v>0</v>
          </cell>
        </row>
        <row r="455">
          <cell r="Z455" t="b">
            <v>0</v>
          </cell>
          <cell r="AA455" t="b">
            <v>0</v>
          </cell>
        </row>
        <row r="456">
          <cell r="Z456" t="b">
            <v>0</v>
          </cell>
          <cell r="AA456" t="b">
            <v>0</v>
          </cell>
        </row>
        <row r="457">
          <cell r="Z457" t="b">
            <v>0</v>
          </cell>
          <cell r="AA457" t="b">
            <v>0</v>
          </cell>
        </row>
        <row r="458">
          <cell r="Z458" t="b">
            <v>0</v>
          </cell>
          <cell r="AA458" t="b">
            <v>0</v>
          </cell>
        </row>
        <row r="459">
          <cell r="Z459" t="b">
            <v>0</v>
          </cell>
          <cell r="AA459" t="b">
            <v>0</v>
          </cell>
        </row>
        <row r="460">
          <cell r="Z460" t="b">
            <v>0</v>
          </cell>
          <cell r="AA460" t="b">
            <v>0</v>
          </cell>
        </row>
        <row r="461">
          <cell r="Z461" t="b">
            <v>0</v>
          </cell>
          <cell r="AA461" t="b">
            <v>0</v>
          </cell>
        </row>
        <row r="462">
          <cell r="Z462" t="b">
            <v>0</v>
          </cell>
          <cell r="AA462" t="b">
            <v>0</v>
          </cell>
        </row>
        <row r="463">
          <cell r="Z463" t="b">
            <v>0</v>
          </cell>
          <cell r="AA463" t="b">
            <v>0</v>
          </cell>
        </row>
        <row r="464">
          <cell r="Z464" t="b">
            <v>0</v>
          </cell>
          <cell r="AA464" t="b">
            <v>0</v>
          </cell>
        </row>
        <row r="465">
          <cell r="Z465" t="b">
            <v>0</v>
          </cell>
          <cell r="AA465" t="b">
            <v>0</v>
          </cell>
        </row>
        <row r="466">
          <cell r="Z466" t="b">
            <v>0</v>
          </cell>
          <cell r="AA466" t="b">
            <v>0</v>
          </cell>
        </row>
        <row r="467">
          <cell r="Z467" t="b">
            <v>0</v>
          </cell>
          <cell r="AA467" t="b">
            <v>0</v>
          </cell>
        </row>
        <row r="468">
          <cell r="Z468" t="b">
            <v>0</v>
          </cell>
          <cell r="AA468" t="b">
            <v>0</v>
          </cell>
        </row>
        <row r="469">
          <cell r="Z469" t="b">
            <v>0</v>
          </cell>
          <cell r="AA469" t="b">
            <v>0</v>
          </cell>
        </row>
        <row r="470">
          <cell r="Z470" t="b">
            <v>0</v>
          </cell>
          <cell r="AA470" t="b">
            <v>0</v>
          </cell>
        </row>
        <row r="471">
          <cell r="Z471" t="b">
            <v>0</v>
          </cell>
          <cell r="AA471" t="b">
            <v>0</v>
          </cell>
        </row>
        <row r="472">
          <cell r="Z472" t="b">
            <v>0</v>
          </cell>
          <cell r="AA472" t="b">
            <v>0</v>
          </cell>
        </row>
        <row r="473">
          <cell r="Z473" t="b">
            <v>0</v>
          </cell>
          <cell r="AA473" t="b">
            <v>0</v>
          </cell>
        </row>
        <row r="474">
          <cell r="Z474" t="b">
            <v>0</v>
          </cell>
          <cell r="AA474" t="b">
            <v>0</v>
          </cell>
        </row>
        <row r="475">
          <cell r="Z475" t="b">
            <v>0</v>
          </cell>
          <cell r="AA475" t="b">
            <v>0</v>
          </cell>
        </row>
        <row r="476">
          <cell r="Z476" t="b">
            <v>0</v>
          </cell>
          <cell r="AA476" t="b">
            <v>0</v>
          </cell>
        </row>
        <row r="477">
          <cell r="Z477" t="b">
            <v>0</v>
          </cell>
          <cell r="AA477" t="b">
            <v>0</v>
          </cell>
        </row>
        <row r="478">
          <cell r="Z478" t="b">
            <v>0</v>
          </cell>
          <cell r="AA478" t="b">
            <v>0</v>
          </cell>
        </row>
        <row r="479">
          <cell r="Z479" t="b">
            <v>0</v>
          </cell>
          <cell r="AA479" t="b">
            <v>0</v>
          </cell>
        </row>
        <row r="480">
          <cell r="Z480" t="b">
            <v>0</v>
          </cell>
          <cell r="AA480" t="b">
            <v>0</v>
          </cell>
        </row>
        <row r="481">
          <cell r="Z481" t="b">
            <v>0</v>
          </cell>
          <cell r="AA481" t="b">
            <v>0</v>
          </cell>
        </row>
        <row r="482">
          <cell r="Z482" t="b">
            <v>0</v>
          </cell>
          <cell r="AA482" t="b">
            <v>0</v>
          </cell>
        </row>
        <row r="483">
          <cell r="Z483" t="b">
            <v>0</v>
          </cell>
          <cell r="AA483" t="b">
            <v>0</v>
          </cell>
        </row>
        <row r="484">
          <cell r="Z484" t="b">
            <v>0</v>
          </cell>
          <cell r="AA484" t="b">
            <v>0</v>
          </cell>
        </row>
        <row r="485">
          <cell r="Z485" t="b">
            <v>0</v>
          </cell>
          <cell r="AA485" t="b">
            <v>0</v>
          </cell>
        </row>
        <row r="486">
          <cell r="Z486" t="b">
            <v>0</v>
          </cell>
          <cell r="AA486" t="b">
            <v>0</v>
          </cell>
        </row>
        <row r="487">
          <cell r="Z487" t="b">
            <v>0</v>
          </cell>
          <cell r="AA487" t="b">
            <v>0</v>
          </cell>
        </row>
        <row r="488">
          <cell r="Z488" t="b">
            <v>0</v>
          </cell>
          <cell r="AA488" t="b">
            <v>0</v>
          </cell>
        </row>
        <row r="489">
          <cell r="Z489" t="b">
            <v>0</v>
          </cell>
          <cell r="AA489" t="b">
            <v>0</v>
          </cell>
        </row>
        <row r="490">
          <cell r="Z490" t="b">
            <v>0</v>
          </cell>
          <cell r="AA490" t="b">
            <v>0</v>
          </cell>
        </row>
        <row r="491">
          <cell r="Z491" t="b">
            <v>0</v>
          </cell>
          <cell r="AA491" t="b">
            <v>0</v>
          </cell>
        </row>
        <row r="492">
          <cell r="Z492" t="b">
            <v>0</v>
          </cell>
          <cell r="AA492" t="b">
            <v>0</v>
          </cell>
        </row>
        <row r="493">
          <cell r="Z493" t="b">
            <v>0</v>
          </cell>
          <cell r="AA493" t="b">
            <v>0</v>
          </cell>
        </row>
        <row r="494">
          <cell r="Z494" t="b">
            <v>0</v>
          </cell>
          <cell r="AA494" t="b">
            <v>0</v>
          </cell>
        </row>
        <row r="495">
          <cell r="Z495" t="b">
            <v>0</v>
          </cell>
          <cell r="AA495" t="b">
            <v>0</v>
          </cell>
        </row>
        <row r="496">
          <cell r="Z496" t="b">
            <v>0</v>
          </cell>
          <cell r="AA496" t="b">
            <v>0</v>
          </cell>
        </row>
        <row r="497">
          <cell r="Z497" t="b">
            <v>0</v>
          </cell>
          <cell r="AA497" t="b">
            <v>0</v>
          </cell>
        </row>
        <row r="498">
          <cell r="Z498" t="b">
            <v>0</v>
          </cell>
          <cell r="AA498" t="b">
            <v>0</v>
          </cell>
        </row>
        <row r="499">
          <cell r="Z499" t="b">
            <v>0</v>
          </cell>
          <cell r="AA499" t="b">
            <v>0</v>
          </cell>
        </row>
        <row r="500">
          <cell r="Z500" t="b">
            <v>0</v>
          </cell>
          <cell r="AA500" t="b">
            <v>0</v>
          </cell>
        </row>
        <row r="501">
          <cell r="Z501" t="b">
            <v>0</v>
          </cell>
          <cell r="AA501" t="b">
            <v>0</v>
          </cell>
        </row>
        <row r="502">
          <cell r="Z502" t="b">
            <v>0</v>
          </cell>
          <cell r="AA502" t="b">
            <v>0</v>
          </cell>
        </row>
        <row r="503">
          <cell r="Z503" t="b">
            <v>0</v>
          </cell>
          <cell r="AA503" t="b">
            <v>0</v>
          </cell>
        </row>
        <row r="504">
          <cell r="Z504" t="b">
            <v>0</v>
          </cell>
          <cell r="AA504" t="b">
            <v>0</v>
          </cell>
        </row>
        <row r="505">
          <cell r="Z505" t="b">
            <v>0</v>
          </cell>
          <cell r="AA505" t="b">
            <v>0</v>
          </cell>
        </row>
        <row r="506">
          <cell r="Z506" t="b">
            <v>0</v>
          </cell>
          <cell r="AA506" t="b">
            <v>0</v>
          </cell>
        </row>
        <row r="507">
          <cell r="Z507" t="b">
            <v>0</v>
          </cell>
          <cell r="AA507" t="b">
            <v>0</v>
          </cell>
        </row>
        <row r="508">
          <cell r="Z508" t="b">
            <v>0</v>
          </cell>
          <cell r="AA508" t="b">
            <v>0</v>
          </cell>
        </row>
        <row r="509">
          <cell r="Z509" t="b">
            <v>0</v>
          </cell>
          <cell r="AA509" t="b">
            <v>0</v>
          </cell>
        </row>
        <row r="510">
          <cell r="Z510" t="b">
            <v>0</v>
          </cell>
          <cell r="AA510" t="b">
            <v>0</v>
          </cell>
        </row>
        <row r="511">
          <cell r="Z511" t="b">
            <v>0</v>
          </cell>
          <cell r="AA511" t="b">
            <v>0</v>
          </cell>
        </row>
        <row r="512">
          <cell r="Z512" t="b">
            <v>0</v>
          </cell>
          <cell r="AA512" t="b">
            <v>0</v>
          </cell>
        </row>
        <row r="513">
          <cell r="Z513" t="b">
            <v>0</v>
          </cell>
          <cell r="AA513" t="b">
            <v>0</v>
          </cell>
        </row>
        <row r="514">
          <cell r="Z514" t="b">
            <v>0</v>
          </cell>
          <cell r="AA514" t="b">
            <v>0</v>
          </cell>
        </row>
        <row r="515">
          <cell r="Z515" t="b">
            <v>0</v>
          </cell>
          <cell r="AA515" t="b">
            <v>0</v>
          </cell>
        </row>
        <row r="516">
          <cell r="Z516" t="b">
            <v>0</v>
          </cell>
          <cell r="AA516" t="b">
            <v>0</v>
          </cell>
        </row>
        <row r="517">
          <cell r="Z517" t="b">
            <v>0</v>
          </cell>
          <cell r="AA517" t="b">
            <v>0</v>
          </cell>
        </row>
        <row r="518">
          <cell r="Z518" t="b">
            <v>0</v>
          </cell>
          <cell r="AA518" t="b">
            <v>0</v>
          </cell>
        </row>
        <row r="519">
          <cell r="Z519" t="b">
            <v>0</v>
          </cell>
          <cell r="AA519" t="b">
            <v>0</v>
          </cell>
        </row>
        <row r="520">
          <cell r="Z520" t="b">
            <v>0</v>
          </cell>
          <cell r="AA520" t="b">
            <v>0</v>
          </cell>
        </row>
        <row r="521">
          <cell r="Z521" t="b">
            <v>0</v>
          </cell>
          <cell r="AA521" t="b">
            <v>0</v>
          </cell>
        </row>
        <row r="522">
          <cell r="Z522" t="b">
            <v>0</v>
          </cell>
          <cell r="AA522" t="b">
            <v>0</v>
          </cell>
        </row>
        <row r="523">
          <cell r="Z523" t="b">
            <v>0</v>
          </cell>
          <cell r="AA523" t="b">
            <v>0</v>
          </cell>
        </row>
        <row r="524">
          <cell r="Z524" t="b">
            <v>0</v>
          </cell>
          <cell r="AA524" t="b">
            <v>0</v>
          </cell>
        </row>
        <row r="525">
          <cell r="Z525" t="b">
            <v>0</v>
          </cell>
          <cell r="AA525" t="b">
            <v>0</v>
          </cell>
        </row>
        <row r="526">
          <cell r="Z526" t="b">
            <v>0</v>
          </cell>
          <cell r="AA526" t="b">
            <v>0</v>
          </cell>
        </row>
        <row r="527">
          <cell r="Z527" t="b">
            <v>0</v>
          </cell>
          <cell r="AA527" t="b">
            <v>0</v>
          </cell>
        </row>
        <row r="528">
          <cell r="Z528" t="b">
            <v>0</v>
          </cell>
          <cell r="AA528" t="b">
            <v>0</v>
          </cell>
        </row>
        <row r="529">
          <cell r="Z529" t="b">
            <v>0</v>
          </cell>
          <cell r="AA529" t="b">
            <v>0</v>
          </cell>
        </row>
        <row r="530">
          <cell r="Z530" t="b">
            <v>0</v>
          </cell>
          <cell r="AA530" t="b">
            <v>0</v>
          </cell>
        </row>
        <row r="531">
          <cell r="Z531" t="b">
            <v>0</v>
          </cell>
          <cell r="AA531" t="b">
            <v>0</v>
          </cell>
        </row>
        <row r="532">
          <cell r="Z532" t="b">
            <v>0</v>
          </cell>
          <cell r="AA532" t="b">
            <v>0</v>
          </cell>
        </row>
        <row r="533">
          <cell r="Z533" t="b">
            <v>0</v>
          </cell>
          <cell r="AA533" t="b">
            <v>0</v>
          </cell>
        </row>
        <row r="534">
          <cell r="Z534" t="b">
            <v>0</v>
          </cell>
          <cell r="AA534" t="b">
            <v>0</v>
          </cell>
        </row>
        <row r="535">
          <cell r="Z535" t="b">
            <v>0</v>
          </cell>
          <cell r="AA535" t="b">
            <v>0</v>
          </cell>
        </row>
        <row r="536">
          <cell r="Z536" t="b">
            <v>0</v>
          </cell>
          <cell r="AA536" t="b">
            <v>0</v>
          </cell>
        </row>
        <row r="537">
          <cell r="Z537" t="b">
            <v>0</v>
          </cell>
          <cell r="AA537" t="b">
            <v>0</v>
          </cell>
        </row>
        <row r="538">
          <cell r="Z538" t="b">
            <v>0</v>
          </cell>
          <cell r="AA538" t="b">
            <v>0</v>
          </cell>
        </row>
        <row r="539">
          <cell r="Z539" t="b">
            <v>0</v>
          </cell>
          <cell r="AA539" t="b">
            <v>0</v>
          </cell>
        </row>
        <row r="540">
          <cell r="Z540" t="b">
            <v>0</v>
          </cell>
          <cell r="AA540" t="b">
            <v>0</v>
          </cell>
        </row>
        <row r="541">
          <cell r="Z541" t="b">
            <v>0</v>
          </cell>
          <cell r="AA541" t="b">
            <v>0</v>
          </cell>
        </row>
        <row r="542">
          <cell r="Z542" t="b">
            <v>0</v>
          </cell>
          <cell r="AA542" t="b">
            <v>0</v>
          </cell>
        </row>
        <row r="543">
          <cell r="Z543" t="b">
            <v>0</v>
          </cell>
          <cell r="AA543" t="b">
            <v>0</v>
          </cell>
        </row>
        <row r="544">
          <cell r="Z544" t="b">
            <v>0</v>
          </cell>
          <cell r="AA544" t="b">
            <v>0</v>
          </cell>
        </row>
        <row r="545">
          <cell r="Z545" t="b">
            <v>0</v>
          </cell>
          <cell r="AA545" t="b">
            <v>0</v>
          </cell>
        </row>
        <row r="546">
          <cell r="Z546" t="b">
            <v>0</v>
          </cell>
          <cell r="AA546" t="b">
            <v>0</v>
          </cell>
        </row>
        <row r="547">
          <cell r="Z547" t="b">
            <v>0</v>
          </cell>
          <cell r="AA547" t="b">
            <v>0</v>
          </cell>
        </row>
        <row r="548">
          <cell r="Z548" t="b">
            <v>0</v>
          </cell>
          <cell r="AA548" t="b">
            <v>0</v>
          </cell>
        </row>
        <row r="549">
          <cell r="Z549" t="b">
            <v>0</v>
          </cell>
          <cell r="AA549" t="b">
            <v>0</v>
          </cell>
        </row>
        <row r="550">
          <cell r="Z550" t="b">
            <v>0</v>
          </cell>
          <cell r="AA550" t="b">
            <v>0</v>
          </cell>
        </row>
        <row r="551">
          <cell r="Z551" t="b">
            <v>0</v>
          </cell>
          <cell r="AA551" t="b">
            <v>0</v>
          </cell>
        </row>
        <row r="552">
          <cell r="Z552" t="b">
            <v>0</v>
          </cell>
          <cell r="AA552" t="b">
            <v>0</v>
          </cell>
        </row>
        <row r="553">
          <cell r="Z553" t="b">
            <v>0</v>
          </cell>
          <cell r="AA553" t="b">
            <v>0</v>
          </cell>
        </row>
        <row r="554">
          <cell r="Z554" t="b">
            <v>0</v>
          </cell>
          <cell r="AA554" t="b">
            <v>0</v>
          </cell>
        </row>
        <row r="555">
          <cell r="Z555" t="b">
            <v>0</v>
          </cell>
          <cell r="AA555" t="b">
            <v>0</v>
          </cell>
        </row>
        <row r="556">
          <cell r="Z556" t="b">
            <v>0</v>
          </cell>
          <cell r="AA556" t="b">
            <v>0</v>
          </cell>
        </row>
        <row r="557">
          <cell r="Z557" t="b">
            <v>0</v>
          </cell>
          <cell r="AA557" t="b">
            <v>0</v>
          </cell>
        </row>
        <row r="558">
          <cell r="Z558" t="b">
            <v>0</v>
          </cell>
          <cell r="AA558" t="b">
            <v>0</v>
          </cell>
        </row>
        <row r="559">
          <cell r="Z559" t="b">
            <v>0</v>
          </cell>
          <cell r="AA559" t="b">
            <v>0</v>
          </cell>
        </row>
        <row r="560">
          <cell r="Z560" t="b">
            <v>0</v>
          </cell>
          <cell r="AA560" t="b">
            <v>0</v>
          </cell>
        </row>
        <row r="561">
          <cell r="Z561" t="b">
            <v>0</v>
          </cell>
          <cell r="AA561" t="b">
            <v>0</v>
          </cell>
        </row>
        <row r="562">
          <cell r="Z562" t="b">
            <v>0</v>
          </cell>
          <cell r="AA562" t="b">
            <v>0</v>
          </cell>
        </row>
        <row r="563">
          <cell r="Z563" t="b">
            <v>0</v>
          </cell>
          <cell r="AA563" t="b">
            <v>0</v>
          </cell>
        </row>
        <row r="564">
          <cell r="Z564" t="b">
            <v>0</v>
          </cell>
          <cell r="AA564" t="b">
            <v>0</v>
          </cell>
        </row>
        <row r="565">
          <cell r="Z565" t="b">
            <v>0</v>
          </cell>
          <cell r="AA565" t="b">
            <v>0</v>
          </cell>
        </row>
        <row r="566">
          <cell r="Z566" t="b">
            <v>0</v>
          </cell>
          <cell r="AA566" t="b">
            <v>0</v>
          </cell>
        </row>
        <row r="567">
          <cell r="Z567" t="b">
            <v>0</v>
          </cell>
          <cell r="AA567" t="b">
            <v>0</v>
          </cell>
        </row>
        <row r="568">
          <cell r="Z568" t="b">
            <v>0</v>
          </cell>
          <cell r="AA568" t="b">
            <v>0</v>
          </cell>
        </row>
        <row r="569">
          <cell r="Z569" t="b">
            <v>0</v>
          </cell>
          <cell r="AA569" t="b">
            <v>0</v>
          </cell>
        </row>
        <row r="570">
          <cell r="Z570" t="b">
            <v>0</v>
          </cell>
          <cell r="AA570" t="b">
            <v>0</v>
          </cell>
        </row>
        <row r="571">
          <cell r="Z571" t="b">
            <v>0</v>
          </cell>
          <cell r="AA571" t="b">
            <v>0</v>
          </cell>
        </row>
        <row r="572">
          <cell r="Z572" t="b">
            <v>0</v>
          </cell>
          <cell r="AA572" t="b">
            <v>0</v>
          </cell>
        </row>
        <row r="573">
          <cell r="Z573" t="b">
            <v>0</v>
          </cell>
          <cell r="AA573" t="b">
            <v>0</v>
          </cell>
        </row>
        <row r="574">
          <cell r="Z574" t="b">
            <v>0</v>
          </cell>
          <cell r="AA574" t="b">
            <v>0</v>
          </cell>
        </row>
        <row r="575">
          <cell r="Z575" t="b">
            <v>0</v>
          </cell>
          <cell r="AA575" t="b">
            <v>0</v>
          </cell>
        </row>
        <row r="576">
          <cell r="Z576" t="b">
            <v>0</v>
          </cell>
          <cell r="AA576" t="b">
            <v>0</v>
          </cell>
        </row>
        <row r="577">
          <cell r="Z577" t="b">
            <v>0</v>
          </cell>
          <cell r="AA577" t="b">
            <v>0</v>
          </cell>
        </row>
        <row r="578">
          <cell r="Z578" t="b">
            <v>0</v>
          </cell>
          <cell r="AA578" t="b">
            <v>0</v>
          </cell>
        </row>
        <row r="579">
          <cell r="Z579" t="b">
            <v>0</v>
          </cell>
          <cell r="AA579" t="b">
            <v>0</v>
          </cell>
        </row>
        <row r="580">
          <cell r="Z580" t="b">
            <v>0</v>
          </cell>
          <cell r="AA580" t="b">
            <v>0</v>
          </cell>
        </row>
        <row r="581">
          <cell r="Z581" t="b">
            <v>0</v>
          </cell>
          <cell r="AA581" t="b">
            <v>0</v>
          </cell>
        </row>
        <row r="582">
          <cell r="Z582" t="b">
            <v>0</v>
          </cell>
          <cell r="AA582" t="b">
            <v>0</v>
          </cell>
        </row>
        <row r="583">
          <cell r="Z583" t="b">
            <v>0</v>
          </cell>
          <cell r="AA583" t="b">
            <v>0</v>
          </cell>
        </row>
        <row r="584">
          <cell r="Z584" t="b">
            <v>0</v>
          </cell>
          <cell r="AA584" t="b">
            <v>0</v>
          </cell>
        </row>
        <row r="585">
          <cell r="Z585" t="b">
            <v>0</v>
          </cell>
          <cell r="AA585" t="b">
            <v>0</v>
          </cell>
        </row>
        <row r="586">
          <cell r="Z586" t="b">
            <v>0</v>
          </cell>
          <cell r="AA586" t="b">
            <v>0</v>
          </cell>
        </row>
        <row r="587">
          <cell r="Z587" t="b">
            <v>0</v>
          </cell>
          <cell r="AA587" t="b">
            <v>0</v>
          </cell>
        </row>
        <row r="588">
          <cell r="Z588" t="b">
            <v>0</v>
          </cell>
          <cell r="AA588" t="b">
            <v>0</v>
          </cell>
        </row>
        <row r="589">
          <cell r="Z589" t="b">
            <v>0</v>
          </cell>
          <cell r="AA589" t="b">
            <v>0</v>
          </cell>
        </row>
        <row r="590">
          <cell r="Z590" t="b">
            <v>0</v>
          </cell>
          <cell r="AA590" t="b">
            <v>0</v>
          </cell>
        </row>
        <row r="591">
          <cell r="Z591" t="b">
            <v>0</v>
          </cell>
          <cell r="AA591" t="b">
            <v>0</v>
          </cell>
        </row>
        <row r="592">
          <cell r="Z592" t="b">
            <v>0</v>
          </cell>
          <cell r="AA592" t="b">
            <v>0</v>
          </cell>
        </row>
        <row r="593">
          <cell r="Z593" t="b">
            <v>0</v>
          </cell>
          <cell r="AA593" t="b">
            <v>0</v>
          </cell>
        </row>
        <row r="594">
          <cell r="Z594" t="b">
            <v>0</v>
          </cell>
          <cell r="AA594" t="b">
            <v>0</v>
          </cell>
        </row>
        <row r="595">
          <cell r="Z595" t="b">
            <v>0</v>
          </cell>
          <cell r="AA595" t="b">
            <v>0</v>
          </cell>
        </row>
        <row r="596">
          <cell r="Z596" t="b">
            <v>0</v>
          </cell>
          <cell r="AA596" t="b">
            <v>0</v>
          </cell>
        </row>
        <row r="597">
          <cell r="Z597" t="b">
            <v>0</v>
          </cell>
          <cell r="AA597" t="b">
            <v>0</v>
          </cell>
        </row>
        <row r="598">
          <cell r="Z598" t="b">
            <v>0</v>
          </cell>
          <cell r="AA598" t="b">
            <v>0</v>
          </cell>
        </row>
        <row r="599">
          <cell r="Z599" t="b">
            <v>0</v>
          </cell>
          <cell r="AA599" t="b">
            <v>0</v>
          </cell>
        </row>
        <row r="600">
          <cell r="Z600" t="b">
            <v>0</v>
          </cell>
          <cell r="AA600" t="b">
            <v>0</v>
          </cell>
        </row>
        <row r="601">
          <cell r="Z601" t="b">
            <v>0</v>
          </cell>
          <cell r="AA601" t="b">
            <v>0</v>
          </cell>
        </row>
        <row r="602">
          <cell r="Z602" t="b">
            <v>0</v>
          </cell>
          <cell r="AA602" t="b">
            <v>0</v>
          </cell>
        </row>
        <row r="603">
          <cell r="Z603" t="b">
            <v>0</v>
          </cell>
          <cell r="AA603" t="b">
            <v>0</v>
          </cell>
        </row>
        <row r="604">
          <cell r="Z604" t="b">
            <v>0</v>
          </cell>
          <cell r="AA604" t="b">
            <v>0</v>
          </cell>
        </row>
        <row r="605">
          <cell r="Z605" t="b">
            <v>0</v>
          </cell>
          <cell r="AA605" t="b">
            <v>0</v>
          </cell>
        </row>
        <row r="606">
          <cell r="Z606" t="b">
            <v>0</v>
          </cell>
          <cell r="AA606" t="b">
            <v>0</v>
          </cell>
        </row>
        <row r="607">
          <cell r="Z607" t="b">
            <v>0</v>
          </cell>
          <cell r="AA607" t="b">
            <v>0</v>
          </cell>
        </row>
        <row r="608">
          <cell r="Z608" t="b">
            <v>0</v>
          </cell>
          <cell r="AA608" t="b">
            <v>0</v>
          </cell>
        </row>
        <row r="609">
          <cell r="Z609" t="b">
            <v>0</v>
          </cell>
          <cell r="AA609" t="b">
            <v>0</v>
          </cell>
        </row>
        <row r="610">
          <cell r="Z610" t="b">
            <v>0</v>
          </cell>
          <cell r="AA610" t="b">
            <v>0</v>
          </cell>
        </row>
        <row r="611">
          <cell r="Z611" t="b">
            <v>0</v>
          </cell>
          <cell r="AA611" t="b">
            <v>0</v>
          </cell>
        </row>
        <row r="612">
          <cell r="Z612" t="b">
            <v>0</v>
          </cell>
          <cell r="AA612" t="b">
            <v>0</v>
          </cell>
        </row>
        <row r="613">
          <cell r="Z613" t="b">
            <v>0</v>
          </cell>
          <cell r="AA613" t="b">
            <v>0</v>
          </cell>
        </row>
        <row r="614">
          <cell r="Z614" t="b">
            <v>0</v>
          </cell>
          <cell r="AA614" t="b">
            <v>0</v>
          </cell>
        </row>
        <row r="615">
          <cell r="Z615" t="b">
            <v>0</v>
          </cell>
          <cell r="AA615" t="b">
            <v>0</v>
          </cell>
        </row>
        <row r="616">
          <cell r="Z616" t="b">
            <v>0</v>
          </cell>
          <cell r="AA616" t="b">
            <v>0</v>
          </cell>
        </row>
        <row r="617">
          <cell r="Z617" t="b">
            <v>0</v>
          </cell>
          <cell r="AA617" t="b">
            <v>0</v>
          </cell>
        </row>
        <row r="618">
          <cell r="Z618" t="b">
            <v>0</v>
          </cell>
          <cell r="AA618" t="b">
            <v>0</v>
          </cell>
        </row>
        <row r="619">
          <cell r="Z619" t="b">
            <v>0</v>
          </cell>
          <cell r="AA619" t="b">
            <v>0</v>
          </cell>
        </row>
        <row r="620">
          <cell r="Z620" t="b">
            <v>0</v>
          </cell>
          <cell r="AA620" t="b">
            <v>0</v>
          </cell>
        </row>
        <row r="621">
          <cell r="Z621" t="b">
            <v>0</v>
          </cell>
          <cell r="AA621" t="b">
            <v>0</v>
          </cell>
        </row>
        <row r="622">
          <cell r="Z622" t="b">
            <v>0</v>
          </cell>
          <cell r="AA622" t="b">
            <v>0</v>
          </cell>
        </row>
        <row r="623">
          <cell r="Z623" t="b">
            <v>0</v>
          </cell>
          <cell r="AA623" t="b">
            <v>0</v>
          </cell>
        </row>
        <row r="624">
          <cell r="Z624" t="b">
            <v>0</v>
          </cell>
          <cell r="AA624" t="b">
            <v>0</v>
          </cell>
        </row>
        <row r="625">
          <cell r="Z625" t="b">
            <v>0</v>
          </cell>
          <cell r="AA625" t="b">
            <v>0</v>
          </cell>
        </row>
        <row r="626">
          <cell r="Z626" t="b">
            <v>0</v>
          </cell>
          <cell r="AA626" t="b">
            <v>0</v>
          </cell>
        </row>
        <row r="627">
          <cell r="Z627" t="b">
            <v>0</v>
          </cell>
          <cell r="AA627" t="b">
            <v>0</v>
          </cell>
        </row>
        <row r="628">
          <cell r="Z628" t="b">
            <v>0</v>
          </cell>
          <cell r="AA628" t="b">
            <v>0</v>
          </cell>
        </row>
        <row r="629">
          <cell r="Z629" t="b">
            <v>0</v>
          </cell>
          <cell r="AA629" t="b">
            <v>0</v>
          </cell>
        </row>
        <row r="630">
          <cell r="Z630" t="b">
            <v>0</v>
          </cell>
          <cell r="AA630" t="b">
            <v>0</v>
          </cell>
        </row>
        <row r="631">
          <cell r="Z631" t="b">
            <v>0</v>
          </cell>
          <cell r="AA631" t="b">
            <v>0</v>
          </cell>
        </row>
        <row r="632">
          <cell r="Z632" t="b">
            <v>0</v>
          </cell>
          <cell r="AA632" t="b">
            <v>0</v>
          </cell>
        </row>
        <row r="633">
          <cell r="Z633" t="b">
            <v>0</v>
          </cell>
          <cell r="AA633" t="b">
            <v>0</v>
          </cell>
        </row>
        <row r="634">
          <cell r="Z634" t="b">
            <v>0</v>
          </cell>
          <cell r="AA634" t="b">
            <v>0</v>
          </cell>
        </row>
        <row r="635">
          <cell r="Z635" t="b">
            <v>0</v>
          </cell>
          <cell r="AA635" t="b">
            <v>0</v>
          </cell>
        </row>
        <row r="636">
          <cell r="Z636" t="b">
            <v>0</v>
          </cell>
          <cell r="AA636" t="b">
            <v>0</v>
          </cell>
        </row>
        <row r="637">
          <cell r="Z637" t="b">
            <v>0</v>
          </cell>
          <cell r="AA637" t="b">
            <v>0</v>
          </cell>
        </row>
        <row r="638">
          <cell r="Z638" t="b">
            <v>0</v>
          </cell>
          <cell r="AA638" t="b">
            <v>0</v>
          </cell>
        </row>
        <row r="639">
          <cell r="Z639" t="b">
            <v>0</v>
          </cell>
          <cell r="AA639" t="b">
            <v>0</v>
          </cell>
        </row>
        <row r="640">
          <cell r="Z640" t="b">
            <v>0</v>
          </cell>
          <cell r="AA640" t="b">
            <v>0</v>
          </cell>
        </row>
        <row r="641">
          <cell r="Z641" t="b">
            <v>0</v>
          </cell>
          <cell r="AA641" t="b">
            <v>0</v>
          </cell>
        </row>
        <row r="642">
          <cell r="Z642" t="b">
            <v>0</v>
          </cell>
          <cell r="AA642" t="b">
            <v>0</v>
          </cell>
        </row>
        <row r="643">
          <cell r="Z643" t="b">
            <v>0</v>
          </cell>
          <cell r="AA643" t="b">
            <v>0</v>
          </cell>
        </row>
        <row r="644">
          <cell r="Z644" t="b">
            <v>0</v>
          </cell>
          <cell r="AA644" t="b">
            <v>0</v>
          </cell>
        </row>
        <row r="645">
          <cell r="Z645" t="b">
            <v>0</v>
          </cell>
          <cell r="AA645" t="b">
            <v>0</v>
          </cell>
        </row>
        <row r="646">
          <cell r="Z646" t="b">
            <v>0</v>
          </cell>
          <cell r="AA646" t="b">
            <v>0</v>
          </cell>
        </row>
        <row r="647">
          <cell r="Z647" t="b">
            <v>0</v>
          </cell>
          <cell r="AA647" t="b">
            <v>0</v>
          </cell>
        </row>
        <row r="648">
          <cell r="Z648" t="b">
            <v>0</v>
          </cell>
          <cell r="AA648" t="b">
            <v>0</v>
          </cell>
        </row>
        <row r="649">
          <cell r="Z649" t="b">
            <v>0</v>
          </cell>
          <cell r="AA649" t="b">
            <v>0</v>
          </cell>
        </row>
        <row r="650">
          <cell r="Z650" t="b">
            <v>0</v>
          </cell>
          <cell r="AA650" t="b">
            <v>0</v>
          </cell>
        </row>
        <row r="651">
          <cell r="Z651" t="b">
            <v>0</v>
          </cell>
          <cell r="AA651" t="b">
            <v>0</v>
          </cell>
        </row>
        <row r="652">
          <cell r="Z652" t="b">
            <v>0</v>
          </cell>
          <cell r="AA652" t="b">
            <v>0</v>
          </cell>
        </row>
        <row r="653">
          <cell r="Z653" t="b">
            <v>0</v>
          </cell>
          <cell r="AA653" t="b">
            <v>0</v>
          </cell>
        </row>
        <row r="654">
          <cell r="Z654" t="b">
            <v>0</v>
          </cell>
          <cell r="AA654" t="b">
            <v>0</v>
          </cell>
        </row>
        <row r="655">
          <cell r="Z655" t="b">
            <v>0</v>
          </cell>
          <cell r="AA655" t="b">
            <v>0</v>
          </cell>
        </row>
        <row r="656">
          <cell r="Z656" t="b">
            <v>0</v>
          </cell>
          <cell r="AA656" t="b">
            <v>0</v>
          </cell>
        </row>
        <row r="657">
          <cell r="Z657" t="b">
            <v>0</v>
          </cell>
          <cell r="AA657" t="b">
            <v>0</v>
          </cell>
        </row>
        <row r="658">
          <cell r="Z658" t="b">
            <v>0</v>
          </cell>
          <cell r="AA658" t="b">
            <v>0</v>
          </cell>
        </row>
        <row r="659">
          <cell r="Z659" t="b">
            <v>0</v>
          </cell>
          <cell r="AA659" t="b">
            <v>0</v>
          </cell>
        </row>
        <row r="660">
          <cell r="Z660" t="b">
            <v>0</v>
          </cell>
          <cell r="AA660" t="b">
            <v>0</v>
          </cell>
        </row>
        <row r="661">
          <cell r="Z661" t="b">
            <v>0</v>
          </cell>
          <cell r="AA661" t="b">
            <v>0</v>
          </cell>
        </row>
        <row r="662">
          <cell r="Z662" t="b">
            <v>0</v>
          </cell>
          <cell r="AA662" t="b">
            <v>0</v>
          </cell>
        </row>
        <row r="663">
          <cell r="Z663" t="b">
            <v>0</v>
          </cell>
          <cell r="AA663" t="b">
            <v>0</v>
          </cell>
        </row>
        <row r="664">
          <cell r="Z664" t="b">
            <v>0</v>
          </cell>
          <cell r="AA664" t="b">
            <v>0</v>
          </cell>
        </row>
        <row r="665">
          <cell r="Z665" t="b">
            <v>0</v>
          </cell>
          <cell r="AA665" t="b">
            <v>0</v>
          </cell>
        </row>
        <row r="666">
          <cell r="Z666" t="b">
            <v>0</v>
          </cell>
          <cell r="AA666" t="b">
            <v>0</v>
          </cell>
        </row>
        <row r="667">
          <cell r="Z667" t="b">
            <v>0</v>
          </cell>
          <cell r="AA667" t="b">
            <v>0</v>
          </cell>
        </row>
        <row r="668">
          <cell r="Z668" t="b">
            <v>0</v>
          </cell>
          <cell r="AA668" t="b">
            <v>0</v>
          </cell>
        </row>
        <row r="669">
          <cell r="Z669" t="b">
            <v>0</v>
          </cell>
          <cell r="AA669" t="b">
            <v>0</v>
          </cell>
        </row>
        <row r="670">
          <cell r="Z670" t="b">
            <v>0</v>
          </cell>
          <cell r="AA670" t="b">
            <v>0</v>
          </cell>
        </row>
        <row r="671">
          <cell r="Z671" t="b">
            <v>0</v>
          </cell>
          <cell r="AA671" t="b">
            <v>0</v>
          </cell>
        </row>
        <row r="672">
          <cell r="Z672" t="b">
            <v>0</v>
          </cell>
          <cell r="AA672" t="b">
            <v>0</v>
          </cell>
        </row>
        <row r="673">
          <cell r="Z673" t="b">
            <v>0</v>
          </cell>
          <cell r="AA673" t="b">
            <v>0</v>
          </cell>
        </row>
        <row r="674">
          <cell r="Z674" t="b">
            <v>0</v>
          </cell>
          <cell r="AA674" t="b">
            <v>0</v>
          </cell>
        </row>
        <row r="675">
          <cell r="Z675" t="b">
            <v>0</v>
          </cell>
          <cell r="AA675" t="b">
            <v>0</v>
          </cell>
        </row>
        <row r="676">
          <cell r="Z676" t="b">
            <v>0</v>
          </cell>
          <cell r="AA676" t="b">
            <v>0</v>
          </cell>
        </row>
        <row r="677">
          <cell r="Z677" t="b">
            <v>0</v>
          </cell>
          <cell r="AA677" t="b">
            <v>0</v>
          </cell>
        </row>
        <row r="678">
          <cell r="Z678" t="b">
            <v>0</v>
          </cell>
          <cell r="AA678" t="b">
            <v>0</v>
          </cell>
        </row>
        <row r="679">
          <cell r="Z679" t="b">
            <v>0</v>
          </cell>
          <cell r="AA679" t="b">
            <v>0</v>
          </cell>
        </row>
        <row r="680">
          <cell r="Z680" t="b">
            <v>0</v>
          </cell>
          <cell r="AA680" t="b">
            <v>0</v>
          </cell>
        </row>
        <row r="681">
          <cell r="Z681" t="b">
            <v>0</v>
          </cell>
          <cell r="AA681" t="b">
            <v>0</v>
          </cell>
        </row>
        <row r="682">
          <cell r="Z682" t="b">
            <v>0</v>
          </cell>
          <cell r="AA682" t="b">
            <v>0</v>
          </cell>
        </row>
        <row r="683">
          <cell r="Z683" t="b">
            <v>0</v>
          </cell>
          <cell r="AA683" t="b">
            <v>0</v>
          </cell>
        </row>
        <row r="684">
          <cell r="Z684" t="b">
            <v>0</v>
          </cell>
          <cell r="AA684" t="b">
            <v>0</v>
          </cell>
        </row>
        <row r="685">
          <cell r="Z685" t="b">
            <v>0</v>
          </cell>
          <cell r="AA685" t="b">
            <v>0</v>
          </cell>
        </row>
        <row r="686">
          <cell r="Z686" t="b">
            <v>0</v>
          </cell>
          <cell r="AA686" t="b">
            <v>0</v>
          </cell>
        </row>
        <row r="687">
          <cell r="Z687" t="b">
            <v>0</v>
          </cell>
          <cell r="AA687" t="b">
            <v>0</v>
          </cell>
        </row>
        <row r="688">
          <cell r="Z688" t="b">
            <v>0</v>
          </cell>
          <cell r="AA688" t="b">
            <v>0</v>
          </cell>
        </row>
        <row r="689">
          <cell r="Z689" t="b">
            <v>0</v>
          </cell>
          <cell r="AA689" t="b">
            <v>0</v>
          </cell>
        </row>
        <row r="690">
          <cell r="Z690" t="b">
            <v>0</v>
          </cell>
          <cell r="AA690" t="b">
            <v>0</v>
          </cell>
        </row>
        <row r="691">
          <cell r="Z691" t="b">
            <v>0</v>
          </cell>
          <cell r="AA691" t="b">
            <v>0</v>
          </cell>
        </row>
        <row r="692">
          <cell r="Z692" t="b">
            <v>0</v>
          </cell>
          <cell r="AA692" t="b">
            <v>0</v>
          </cell>
        </row>
        <row r="693">
          <cell r="Z693" t="b">
            <v>0</v>
          </cell>
          <cell r="AA693" t="b">
            <v>0</v>
          </cell>
        </row>
        <row r="694">
          <cell r="Z694" t="b">
            <v>0</v>
          </cell>
          <cell r="AA694" t="b">
            <v>0</v>
          </cell>
        </row>
        <row r="695">
          <cell r="Z695" t="b">
            <v>0</v>
          </cell>
          <cell r="AA695" t="b">
            <v>0</v>
          </cell>
        </row>
        <row r="696">
          <cell r="Z696" t="b">
            <v>0</v>
          </cell>
          <cell r="AA696" t="b">
            <v>0</v>
          </cell>
        </row>
        <row r="697">
          <cell r="Z697" t="b">
            <v>0</v>
          </cell>
          <cell r="AA697" t="b">
            <v>0</v>
          </cell>
        </row>
        <row r="698">
          <cell r="Z698" t="b">
            <v>0</v>
          </cell>
          <cell r="AA698" t="b">
            <v>0</v>
          </cell>
        </row>
        <row r="699">
          <cell r="Z699" t="b">
            <v>0</v>
          </cell>
          <cell r="AA699" t="b">
            <v>0</v>
          </cell>
        </row>
        <row r="700">
          <cell r="Z700" t="b">
            <v>0</v>
          </cell>
          <cell r="AA700" t="b">
            <v>0</v>
          </cell>
        </row>
        <row r="701">
          <cell r="Z701" t="b">
            <v>0</v>
          </cell>
          <cell r="AA701" t="b">
            <v>0</v>
          </cell>
        </row>
        <row r="702">
          <cell r="Z702" t="b">
            <v>0</v>
          </cell>
          <cell r="AA702" t="b">
            <v>0</v>
          </cell>
        </row>
        <row r="703">
          <cell r="Z703" t="b">
            <v>0</v>
          </cell>
          <cell r="AA703" t="b">
            <v>0</v>
          </cell>
        </row>
        <row r="704">
          <cell r="Z704" t="b">
            <v>0</v>
          </cell>
          <cell r="AA704" t="b">
            <v>0</v>
          </cell>
        </row>
        <row r="705">
          <cell r="Z705" t="b">
            <v>0</v>
          </cell>
          <cell r="AA705" t="b">
            <v>0</v>
          </cell>
        </row>
        <row r="706">
          <cell r="Z706" t="b">
            <v>0</v>
          </cell>
          <cell r="AA706" t="b">
            <v>0</v>
          </cell>
        </row>
        <row r="707">
          <cell r="Z707" t="b">
            <v>0</v>
          </cell>
          <cell r="AA707" t="b">
            <v>0</v>
          </cell>
        </row>
        <row r="708">
          <cell r="Z708" t="b">
            <v>0</v>
          </cell>
          <cell r="AA708" t="b">
            <v>0</v>
          </cell>
        </row>
        <row r="709">
          <cell r="Z709" t="b">
            <v>0</v>
          </cell>
          <cell r="AA709" t="b">
            <v>0</v>
          </cell>
        </row>
        <row r="710">
          <cell r="Z710" t="b">
            <v>0</v>
          </cell>
          <cell r="AA710" t="b">
            <v>0</v>
          </cell>
        </row>
        <row r="711">
          <cell r="Z711" t="b">
            <v>0</v>
          </cell>
          <cell r="AA711" t="b">
            <v>0</v>
          </cell>
        </row>
        <row r="712">
          <cell r="Z712" t="b">
            <v>0</v>
          </cell>
          <cell r="AA712" t="b">
            <v>0</v>
          </cell>
        </row>
        <row r="713">
          <cell r="Z713" t="b">
            <v>0</v>
          </cell>
          <cell r="AA713" t="b">
            <v>0</v>
          </cell>
        </row>
        <row r="714">
          <cell r="Z714" t="b">
            <v>0</v>
          </cell>
          <cell r="AA714" t="b">
            <v>0</v>
          </cell>
        </row>
        <row r="715">
          <cell r="Z715" t="b">
            <v>0</v>
          </cell>
          <cell r="AA715" t="b">
            <v>0</v>
          </cell>
        </row>
        <row r="716">
          <cell r="Z716" t="b">
            <v>0</v>
          </cell>
          <cell r="AA716" t="b">
            <v>0</v>
          </cell>
        </row>
        <row r="717">
          <cell r="Z717" t="b">
            <v>0</v>
          </cell>
          <cell r="AA717" t="b">
            <v>0</v>
          </cell>
        </row>
        <row r="718">
          <cell r="Z718" t="b">
            <v>0</v>
          </cell>
          <cell r="AA718" t="b">
            <v>0</v>
          </cell>
        </row>
        <row r="719">
          <cell r="Z719" t="b">
            <v>0</v>
          </cell>
          <cell r="AA719" t="b">
            <v>0</v>
          </cell>
        </row>
        <row r="720">
          <cell r="Z720" t="b">
            <v>0</v>
          </cell>
          <cell r="AA720" t="b">
            <v>0</v>
          </cell>
        </row>
        <row r="721">
          <cell r="Z721" t="b">
            <v>0</v>
          </cell>
          <cell r="AA721" t="b">
            <v>0</v>
          </cell>
        </row>
        <row r="722">
          <cell r="Z722" t="b">
            <v>0</v>
          </cell>
          <cell r="AA722" t="b">
            <v>0</v>
          </cell>
        </row>
        <row r="723">
          <cell r="Z723" t="b">
            <v>0</v>
          </cell>
          <cell r="AA723" t="b">
            <v>0</v>
          </cell>
        </row>
        <row r="724">
          <cell r="Z724" t="b">
            <v>0</v>
          </cell>
          <cell r="AA724" t="b">
            <v>0</v>
          </cell>
        </row>
        <row r="725">
          <cell r="Z725" t="b">
            <v>0</v>
          </cell>
          <cell r="AA725" t="b">
            <v>0</v>
          </cell>
        </row>
        <row r="726">
          <cell r="Z726" t="b">
            <v>0</v>
          </cell>
          <cell r="AA726" t="b">
            <v>0</v>
          </cell>
        </row>
        <row r="727">
          <cell r="Z727" t="b">
            <v>0</v>
          </cell>
          <cell r="AA727" t="b">
            <v>0</v>
          </cell>
        </row>
        <row r="728">
          <cell r="Z728" t="b">
            <v>0</v>
          </cell>
          <cell r="AA728" t="b">
            <v>0</v>
          </cell>
        </row>
        <row r="729">
          <cell r="Z729" t="b">
            <v>0</v>
          </cell>
          <cell r="AA729" t="b">
            <v>0</v>
          </cell>
        </row>
        <row r="730">
          <cell r="Z730" t="b">
            <v>0</v>
          </cell>
          <cell r="AA730" t="b">
            <v>0</v>
          </cell>
        </row>
        <row r="731">
          <cell r="Z731" t="b">
            <v>0</v>
          </cell>
          <cell r="AA731" t="b">
            <v>0</v>
          </cell>
        </row>
        <row r="732">
          <cell r="Z732" t="b">
            <v>0</v>
          </cell>
          <cell r="AA732" t="b">
            <v>0</v>
          </cell>
        </row>
        <row r="733">
          <cell r="Z733" t="b">
            <v>0</v>
          </cell>
          <cell r="AA733" t="b">
            <v>0</v>
          </cell>
        </row>
        <row r="734">
          <cell r="Z734" t="b">
            <v>0</v>
          </cell>
          <cell r="AA734" t="b">
            <v>0</v>
          </cell>
        </row>
        <row r="735">
          <cell r="Z735" t="b">
            <v>0</v>
          </cell>
          <cell r="AA735" t="b">
            <v>0</v>
          </cell>
        </row>
        <row r="736">
          <cell r="Z736" t="b">
            <v>0</v>
          </cell>
          <cell r="AA736" t="b">
            <v>0</v>
          </cell>
        </row>
        <row r="737">
          <cell r="Z737" t="b">
            <v>0</v>
          </cell>
          <cell r="AA737" t="b">
            <v>0</v>
          </cell>
        </row>
        <row r="738">
          <cell r="Z738" t="b">
            <v>0</v>
          </cell>
          <cell r="AA738" t="b">
            <v>0</v>
          </cell>
        </row>
        <row r="739">
          <cell r="Z739" t="b">
            <v>0</v>
          </cell>
          <cell r="AA739" t="b">
            <v>0</v>
          </cell>
        </row>
        <row r="740">
          <cell r="Z740" t="b">
            <v>0</v>
          </cell>
          <cell r="AA740" t="b">
            <v>0</v>
          </cell>
        </row>
        <row r="741">
          <cell r="Z741" t="b">
            <v>0</v>
          </cell>
          <cell r="AA741" t="b">
            <v>0</v>
          </cell>
        </row>
        <row r="742">
          <cell r="Z742" t="b">
            <v>0</v>
          </cell>
          <cell r="AA742" t="b">
            <v>0</v>
          </cell>
        </row>
        <row r="743">
          <cell r="Z743" t="b">
            <v>0</v>
          </cell>
          <cell r="AA743" t="b">
            <v>0</v>
          </cell>
        </row>
        <row r="744">
          <cell r="Z744" t="b">
            <v>0</v>
          </cell>
          <cell r="AA744" t="b">
            <v>0</v>
          </cell>
        </row>
        <row r="745">
          <cell r="Z745" t="b">
            <v>0</v>
          </cell>
          <cell r="AA745" t="b">
            <v>0</v>
          </cell>
        </row>
        <row r="746">
          <cell r="Z746" t="b">
            <v>0</v>
          </cell>
          <cell r="AA746" t="b">
            <v>0</v>
          </cell>
        </row>
        <row r="747">
          <cell r="Z747" t="b">
            <v>0</v>
          </cell>
          <cell r="AA747" t="b">
            <v>0</v>
          </cell>
        </row>
        <row r="748">
          <cell r="Z748" t="b">
            <v>0</v>
          </cell>
          <cell r="AA748" t="b">
            <v>0</v>
          </cell>
        </row>
        <row r="749">
          <cell r="Z749" t="b">
            <v>0</v>
          </cell>
          <cell r="AA749" t="b">
            <v>0</v>
          </cell>
        </row>
        <row r="750">
          <cell r="Z750" t="b">
            <v>0</v>
          </cell>
          <cell r="AA750" t="b">
            <v>0</v>
          </cell>
        </row>
        <row r="751">
          <cell r="Z751" t="b">
            <v>0</v>
          </cell>
          <cell r="AA751" t="b">
            <v>0</v>
          </cell>
        </row>
        <row r="752">
          <cell r="Z752" t="b">
            <v>0</v>
          </cell>
          <cell r="AA752" t="b">
            <v>0</v>
          </cell>
        </row>
        <row r="753">
          <cell r="Z753" t="b">
            <v>0</v>
          </cell>
          <cell r="AA753" t="b">
            <v>0</v>
          </cell>
        </row>
        <row r="754">
          <cell r="Z754" t="b">
            <v>0</v>
          </cell>
          <cell r="AA754" t="b">
            <v>0</v>
          </cell>
        </row>
        <row r="755">
          <cell r="Z755" t="b">
            <v>0</v>
          </cell>
          <cell r="AA755" t="b">
            <v>0</v>
          </cell>
        </row>
        <row r="756">
          <cell r="Z756" t="b">
            <v>0</v>
          </cell>
          <cell r="AA756" t="b">
            <v>0</v>
          </cell>
        </row>
        <row r="757">
          <cell r="Z757" t="b">
            <v>0</v>
          </cell>
          <cell r="AA757" t="b">
            <v>0</v>
          </cell>
        </row>
        <row r="758">
          <cell r="Z758" t="b">
            <v>0</v>
          </cell>
          <cell r="AA758" t="b">
            <v>0</v>
          </cell>
        </row>
        <row r="759">
          <cell r="Z759" t="b">
            <v>0</v>
          </cell>
          <cell r="AA759" t="b">
            <v>0</v>
          </cell>
        </row>
        <row r="760">
          <cell r="Z760" t="b">
            <v>0</v>
          </cell>
          <cell r="AA760" t="b">
            <v>0</v>
          </cell>
        </row>
        <row r="761">
          <cell r="Z761" t="b">
            <v>0</v>
          </cell>
          <cell r="AA761" t="b">
            <v>0</v>
          </cell>
        </row>
        <row r="762">
          <cell r="Z762" t="b">
            <v>0</v>
          </cell>
          <cell r="AA762" t="b">
            <v>0</v>
          </cell>
        </row>
        <row r="763">
          <cell r="Z763" t="b">
            <v>0</v>
          </cell>
          <cell r="AA763" t="b">
            <v>0</v>
          </cell>
        </row>
        <row r="764">
          <cell r="Z764" t="b">
            <v>0</v>
          </cell>
          <cell r="AA764" t="b">
            <v>0</v>
          </cell>
        </row>
        <row r="765">
          <cell r="Z765" t="b">
            <v>0</v>
          </cell>
          <cell r="AA765" t="b">
            <v>0</v>
          </cell>
        </row>
        <row r="766">
          <cell r="Z766" t="b">
            <v>0</v>
          </cell>
          <cell r="AA766" t="b">
            <v>0</v>
          </cell>
        </row>
        <row r="767">
          <cell r="Z767" t="b">
            <v>0</v>
          </cell>
          <cell r="AA767" t="b">
            <v>0</v>
          </cell>
        </row>
        <row r="768">
          <cell r="Z768" t="b">
            <v>0</v>
          </cell>
          <cell r="AA768" t="b">
            <v>0</v>
          </cell>
        </row>
        <row r="769">
          <cell r="Z769" t="b">
            <v>0</v>
          </cell>
          <cell r="AA769" t="b">
            <v>0</v>
          </cell>
        </row>
        <row r="770">
          <cell r="Z770" t="b">
            <v>0</v>
          </cell>
          <cell r="AA770" t="b">
            <v>0</v>
          </cell>
        </row>
        <row r="771">
          <cell r="Z771" t="b">
            <v>0</v>
          </cell>
          <cell r="AA771" t="b">
            <v>0</v>
          </cell>
        </row>
        <row r="772">
          <cell r="Z772" t="b">
            <v>0</v>
          </cell>
          <cell r="AA772" t="b">
            <v>0</v>
          </cell>
        </row>
        <row r="773">
          <cell r="Z773" t="b">
            <v>0</v>
          </cell>
          <cell r="AA773" t="b">
            <v>0</v>
          </cell>
        </row>
        <row r="774">
          <cell r="Z774" t="b">
            <v>0</v>
          </cell>
          <cell r="AA774" t="b">
            <v>0</v>
          </cell>
        </row>
        <row r="775">
          <cell r="Z775" t="b">
            <v>0</v>
          </cell>
          <cell r="AA775" t="b">
            <v>0</v>
          </cell>
        </row>
        <row r="776">
          <cell r="Z776" t="b">
            <v>0</v>
          </cell>
          <cell r="AA776" t="b">
            <v>0</v>
          </cell>
        </row>
        <row r="777">
          <cell r="Z777" t="b">
            <v>0</v>
          </cell>
          <cell r="AA777" t="b">
            <v>0</v>
          </cell>
        </row>
        <row r="778">
          <cell r="Z778" t="b">
            <v>0</v>
          </cell>
          <cell r="AA778" t="b">
            <v>0</v>
          </cell>
        </row>
        <row r="779">
          <cell r="Z779" t="b">
            <v>0</v>
          </cell>
          <cell r="AA779" t="b">
            <v>0</v>
          </cell>
        </row>
        <row r="780">
          <cell r="Z780" t="b">
            <v>0</v>
          </cell>
          <cell r="AA780" t="b">
            <v>0</v>
          </cell>
        </row>
        <row r="781">
          <cell r="Z781" t="b">
            <v>0</v>
          </cell>
          <cell r="AA781" t="b">
            <v>0</v>
          </cell>
        </row>
        <row r="782">
          <cell r="Z782" t="b">
            <v>0</v>
          </cell>
          <cell r="AA782" t="b">
            <v>0</v>
          </cell>
        </row>
        <row r="783">
          <cell r="Z783" t="b">
            <v>0</v>
          </cell>
          <cell r="AA783" t="b">
            <v>0</v>
          </cell>
        </row>
        <row r="784">
          <cell r="Z784" t="b">
            <v>0</v>
          </cell>
          <cell r="AA784" t="b">
            <v>0</v>
          </cell>
        </row>
        <row r="785">
          <cell r="Z785" t="b">
            <v>0</v>
          </cell>
          <cell r="AA785" t="b">
            <v>0</v>
          </cell>
        </row>
        <row r="786">
          <cell r="Z786" t="b">
            <v>0</v>
          </cell>
          <cell r="AA786" t="b">
            <v>0</v>
          </cell>
        </row>
        <row r="787">
          <cell r="Z787" t="b">
            <v>0</v>
          </cell>
          <cell r="AA787" t="b">
            <v>0</v>
          </cell>
        </row>
        <row r="788">
          <cell r="Z788" t="b">
            <v>0</v>
          </cell>
          <cell r="AA788" t="b">
            <v>0</v>
          </cell>
        </row>
        <row r="789">
          <cell r="Z789" t="b">
            <v>0</v>
          </cell>
          <cell r="AA789" t="b">
            <v>0</v>
          </cell>
        </row>
        <row r="790">
          <cell r="Z790" t="b">
            <v>0</v>
          </cell>
          <cell r="AA790" t="b">
            <v>0</v>
          </cell>
        </row>
        <row r="791">
          <cell r="Z791" t="b">
            <v>0</v>
          </cell>
          <cell r="AA791" t="b">
            <v>0</v>
          </cell>
        </row>
        <row r="792">
          <cell r="Z792" t="b">
            <v>0</v>
          </cell>
          <cell r="AA792" t="b">
            <v>0</v>
          </cell>
        </row>
        <row r="793">
          <cell r="Z793" t="b">
            <v>0</v>
          </cell>
          <cell r="AA793" t="b">
            <v>0</v>
          </cell>
        </row>
        <row r="794">
          <cell r="Z794" t="b">
            <v>0</v>
          </cell>
          <cell r="AA794" t="b">
            <v>0</v>
          </cell>
        </row>
        <row r="795">
          <cell r="Z795" t="b">
            <v>0</v>
          </cell>
          <cell r="AA795" t="b">
            <v>0</v>
          </cell>
        </row>
        <row r="796">
          <cell r="Z796" t="b">
            <v>0</v>
          </cell>
          <cell r="AA796" t="b">
            <v>0</v>
          </cell>
        </row>
        <row r="797">
          <cell r="Z797" t="b">
            <v>0</v>
          </cell>
          <cell r="AA797" t="b">
            <v>0</v>
          </cell>
        </row>
        <row r="798">
          <cell r="Z798" t="b">
            <v>0</v>
          </cell>
          <cell r="AA798" t="b">
            <v>0</v>
          </cell>
        </row>
        <row r="799">
          <cell r="Z799" t="b">
            <v>0</v>
          </cell>
          <cell r="AA799" t="b">
            <v>0</v>
          </cell>
        </row>
        <row r="800">
          <cell r="Z800" t="b">
            <v>0</v>
          </cell>
          <cell r="AA800" t="b">
            <v>0</v>
          </cell>
        </row>
        <row r="801">
          <cell r="Z801" t="b">
            <v>0</v>
          </cell>
          <cell r="AA801" t="b">
            <v>0</v>
          </cell>
        </row>
        <row r="802">
          <cell r="Z802" t="b">
            <v>0</v>
          </cell>
          <cell r="AA802" t="b">
            <v>0</v>
          </cell>
        </row>
        <row r="803">
          <cell r="Z803" t="b">
            <v>0</v>
          </cell>
          <cell r="AA803" t="b">
            <v>0</v>
          </cell>
        </row>
        <row r="804">
          <cell r="Z804" t="b">
            <v>0</v>
          </cell>
          <cell r="AA804" t="b">
            <v>0</v>
          </cell>
        </row>
        <row r="805">
          <cell r="Z805" t="b">
            <v>0</v>
          </cell>
          <cell r="AA805" t="b">
            <v>0</v>
          </cell>
        </row>
        <row r="806">
          <cell r="Z806" t="b">
            <v>0</v>
          </cell>
          <cell r="AA806" t="b">
            <v>0</v>
          </cell>
        </row>
        <row r="807">
          <cell r="Z807" t="b">
            <v>0</v>
          </cell>
          <cell r="AA807" t="b">
            <v>0</v>
          </cell>
        </row>
        <row r="808">
          <cell r="Z808" t="b">
            <v>0</v>
          </cell>
          <cell r="AA808" t="b">
            <v>0</v>
          </cell>
        </row>
        <row r="809">
          <cell r="Z809" t="b">
            <v>0</v>
          </cell>
          <cell r="AA809" t="b">
            <v>0</v>
          </cell>
        </row>
        <row r="810">
          <cell r="Z810" t="b">
            <v>0</v>
          </cell>
          <cell r="AA810" t="b">
            <v>0</v>
          </cell>
        </row>
        <row r="811">
          <cell r="Z811" t="b">
            <v>0</v>
          </cell>
          <cell r="AA811" t="b">
            <v>0</v>
          </cell>
        </row>
        <row r="812">
          <cell r="Z812" t="b">
            <v>0</v>
          </cell>
          <cell r="AA812" t="b">
            <v>0</v>
          </cell>
        </row>
        <row r="813">
          <cell r="Z813" t="b">
            <v>0</v>
          </cell>
          <cell r="AA813" t="b">
            <v>0</v>
          </cell>
        </row>
        <row r="814">
          <cell r="Z814" t="b">
            <v>0</v>
          </cell>
          <cell r="AA814" t="b">
            <v>0</v>
          </cell>
        </row>
        <row r="815">
          <cell r="Z815" t="b">
            <v>0</v>
          </cell>
          <cell r="AA815" t="b">
            <v>0</v>
          </cell>
        </row>
        <row r="816">
          <cell r="Z816" t="b">
            <v>0</v>
          </cell>
          <cell r="AA816" t="b">
            <v>0</v>
          </cell>
        </row>
        <row r="817">
          <cell r="Z817" t="b">
            <v>0</v>
          </cell>
          <cell r="AA817" t="b">
            <v>0</v>
          </cell>
        </row>
        <row r="818">
          <cell r="Z818" t="b">
            <v>0</v>
          </cell>
          <cell r="AA818" t="b">
            <v>0</v>
          </cell>
        </row>
        <row r="819">
          <cell r="Z819" t="b">
            <v>0</v>
          </cell>
          <cell r="AA819" t="b">
            <v>0</v>
          </cell>
        </row>
        <row r="820">
          <cell r="Z820" t="b">
            <v>0</v>
          </cell>
          <cell r="AA820" t="b">
            <v>0</v>
          </cell>
        </row>
        <row r="821">
          <cell r="Z821" t="b">
            <v>0</v>
          </cell>
          <cell r="AA821" t="b">
            <v>0</v>
          </cell>
        </row>
        <row r="822">
          <cell r="Z822" t="b">
            <v>0</v>
          </cell>
          <cell r="AA822" t="b">
            <v>0</v>
          </cell>
        </row>
        <row r="823">
          <cell r="Z823" t="b">
            <v>0</v>
          </cell>
          <cell r="AA823" t="b">
            <v>0</v>
          </cell>
        </row>
        <row r="824">
          <cell r="Z824" t="b">
            <v>0</v>
          </cell>
          <cell r="AA824" t="b">
            <v>0</v>
          </cell>
        </row>
        <row r="825">
          <cell r="Z825" t="b">
            <v>0</v>
          </cell>
          <cell r="AA825" t="b">
            <v>0</v>
          </cell>
        </row>
        <row r="826">
          <cell r="Z826" t="b">
            <v>0</v>
          </cell>
          <cell r="AA826" t="b">
            <v>0</v>
          </cell>
        </row>
        <row r="827">
          <cell r="Z827" t="b">
            <v>0</v>
          </cell>
          <cell r="AA827" t="b">
            <v>0</v>
          </cell>
        </row>
        <row r="828">
          <cell r="Z828" t="b">
            <v>0</v>
          </cell>
          <cell r="AA828" t="b">
            <v>0</v>
          </cell>
        </row>
        <row r="829">
          <cell r="Z829" t="b">
            <v>0</v>
          </cell>
          <cell r="AA829" t="b">
            <v>0</v>
          </cell>
        </row>
        <row r="830">
          <cell r="Z830" t="b">
            <v>0</v>
          </cell>
          <cell r="AA830" t="b">
            <v>0</v>
          </cell>
        </row>
        <row r="831">
          <cell r="Z831" t="b">
            <v>0</v>
          </cell>
          <cell r="AA831" t="b">
            <v>0</v>
          </cell>
        </row>
        <row r="832">
          <cell r="Z832" t="b">
            <v>0</v>
          </cell>
          <cell r="AA832" t="b">
            <v>0</v>
          </cell>
        </row>
        <row r="833">
          <cell r="Z833" t="b">
            <v>0</v>
          </cell>
          <cell r="AA833" t="b">
            <v>0</v>
          </cell>
        </row>
        <row r="834">
          <cell r="Z834" t="b">
            <v>0</v>
          </cell>
          <cell r="AA834" t="b">
            <v>0</v>
          </cell>
        </row>
        <row r="835">
          <cell r="Z835" t="b">
            <v>0</v>
          </cell>
          <cell r="AA835" t="b">
            <v>0</v>
          </cell>
        </row>
        <row r="836">
          <cell r="Z836" t="b">
            <v>0</v>
          </cell>
          <cell r="AA836" t="b">
            <v>0</v>
          </cell>
        </row>
        <row r="837">
          <cell r="Z837" t="b">
            <v>0</v>
          </cell>
          <cell r="AA837" t="b">
            <v>0</v>
          </cell>
        </row>
        <row r="838">
          <cell r="Z838" t="b">
            <v>0</v>
          </cell>
          <cell r="AA838" t="b">
            <v>0</v>
          </cell>
        </row>
        <row r="839">
          <cell r="Z839" t="b">
            <v>0</v>
          </cell>
          <cell r="AA839" t="b">
            <v>0</v>
          </cell>
        </row>
        <row r="840">
          <cell r="Z840" t="b">
            <v>0</v>
          </cell>
          <cell r="AA840" t="b">
            <v>0</v>
          </cell>
        </row>
        <row r="841">
          <cell r="Z841" t="b">
            <v>0</v>
          </cell>
          <cell r="AA841" t="b">
            <v>0</v>
          </cell>
        </row>
        <row r="842">
          <cell r="Z842" t="b">
            <v>0</v>
          </cell>
          <cell r="AA842" t="b">
            <v>0</v>
          </cell>
        </row>
        <row r="843">
          <cell r="Z843" t="b">
            <v>0</v>
          </cell>
          <cell r="AA843" t="b">
            <v>0</v>
          </cell>
        </row>
        <row r="844">
          <cell r="Z844" t="b">
            <v>0</v>
          </cell>
          <cell r="AA844" t="b">
            <v>0</v>
          </cell>
        </row>
        <row r="845">
          <cell r="Z845" t="b">
            <v>0</v>
          </cell>
          <cell r="AA845" t="b">
            <v>0</v>
          </cell>
        </row>
        <row r="846">
          <cell r="Z846" t="b">
            <v>0</v>
          </cell>
          <cell r="AA846" t="b">
            <v>0</v>
          </cell>
        </row>
        <row r="847">
          <cell r="Z847" t="b">
            <v>0</v>
          </cell>
          <cell r="AA847" t="b">
            <v>0</v>
          </cell>
        </row>
        <row r="848">
          <cell r="Z848" t="b">
            <v>0</v>
          </cell>
          <cell r="AA848" t="b">
            <v>0</v>
          </cell>
        </row>
        <row r="849">
          <cell r="Z849" t="b">
            <v>0</v>
          </cell>
          <cell r="AA849" t="b">
            <v>0</v>
          </cell>
        </row>
        <row r="850">
          <cell r="Z850" t="b">
            <v>0</v>
          </cell>
          <cell r="AA850" t="b">
            <v>0</v>
          </cell>
        </row>
        <row r="851">
          <cell r="Z851" t="b">
            <v>0</v>
          </cell>
          <cell r="AA851" t="b">
            <v>0</v>
          </cell>
        </row>
        <row r="852">
          <cell r="Z852" t="b">
            <v>0</v>
          </cell>
          <cell r="AA852" t="b">
            <v>0</v>
          </cell>
        </row>
        <row r="853">
          <cell r="Z853" t="b">
            <v>0</v>
          </cell>
          <cell r="AA853" t="b">
            <v>0</v>
          </cell>
        </row>
        <row r="854">
          <cell r="Z854" t="b">
            <v>0</v>
          </cell>
          <cell r="AA854" t="b">
            <v>0</v>
          </cell>
        </row>
        <row r="855">
          <cell r="Z855" t="b">
            <v>0</v>
          </cell>
          <cell r="AA855" t="b">
            <v>0</v>
          </cell>
        </row>
        <row r="856">
          <cell r="Z856" t="b">
            <v>0</v>
          </cell>
          <cell r="AA856" t="b">
            <v>0</v>
          </cell>
        </row>
        <row r="857">
          <cell r="Z857" t="b">
            <v>0</v>
          </cell>
          <cell r="AA857" t="b">
            <v>0</v>
          </cell>
        </row>
        <row r="858">
          <cell r="Z858" t="b">
            <v>0</v>
          </cell>
          <cell r="AA858" t="b">
            <v>0</v>
          </cell>
        </row>
        <row r="859">
          <cell r="Z859" t="b">
            <v>0</v>
          </cell>
          <cell r="AA859" t="b">
            <v>0</v>
          </cell>
        </row>
        <row r="860">
          <cell r="Z860" t="b">
            <v>0</v>
          </cell>
          <cell r="AA860" t="b">
            <v>0</v>
          </cell>
        </row>
        <row r="861">
          <cell r="Z861" t="b">
            <v>0</v>
          </cell>
          <cell r="AA861" t="b">
            <v>0</v>
          </cell>
        </row>
        <row r="862">
          <cell r="Z862" t="b">
            <v>0</v>
          </cell>
          <cell r="AA862" t="b">
            <v>0</v>
          </cell>
        </row>
        <row r="863">
          <cell r="Z863" t="b">
            <v>0</v>
          </cell>
          <cell r="AA863" t="b">
            <v>0</v>
          </cell>
        </row>
        <row r="864">
          <cell r="Z864" t="b">
            <v>0</v>
          </cell>
          <cell r="AA864" t="b">
            <v>0</v>
          </cell>
        </row>
        <row r="865">
          <cell r="Z865" t="b">
            <v>0</v>
          </cell>
          <cell r="AA865" t="b">
            <v>0</v>
          </cell>
        </row>
        <row r="866">
          <cell r="Z866" t="b">
            <v>0</v>
          </cell>
          <cell r="AA866" t="b">
            <v>0</v>
          </cell>
        </row>
        <row r="867">
          <cell r="Z867" t="b">
            <v>0</v>
          </cell>
          <cell r="AA867" t="b">
            <v>0</v>
          </cell>
        </row>
        <row r="868">
          <cell r="Z868" t="b">
            <v>0</v>
          </cell>
          <cell r="AA868" t="b">
            <v>0</v>
          </cell>
        </row>
        <row r="869">
          <cell r="Z869" t="b">
            <v>0</v>
          </cell>
          <cell r="AA869" t="b">
            <v>0</v>
          </cell>
        </row>
        <row r="870">
          <cell r="Z870" t="b">
            <v>0</v>
          </cell>
          <cell r="AA870" t="b">
            <v>0</v>
          </cell>
        </row>
        <row r="871">
          <cell r="Z871" t="b">
            <v>0</v>
          </cell>
          <cell r="AA871" t="b">
            <v>0</v>
          </cell>
        </row>
        <row r="872">
          <cell r="Z872" t="b">
            <v>0</v>
          </cell>
          <cell r="AA872" t="b">
            <v>0</v>
          </cell>
        </row>
        <row r="873">
          <cell r="Z873" t="b">
            <v>0</v>
          </cell>
          <cell r="AA873" t="b">
            <v>0</v>
          </cell>
        </row>
        <row r="874">
          <cell r="Z874" t="b">
            <v>0</v>
          </cell>
          <cell r="AA874" t="b">
            <v>0</v>
          </cell>
        </row>
        <row r="875">
          <cell r="Z875" t="b">
            <v>0</v>
          </cell>
          <cell r="AA875" t="b">
            <v>0</v>
          </cell>
        </row>
        <row r="876">
          <cell r="Z876" t="b">
            <v>0</v>
          </cell>
          <cell r="AA876" t="b">
            <v>0</v>
          </cell>
        </row>
        <row r="877">
          <cell r="Z877" t="b">
            <v>0</v>
          </cell>
          <cell r="AA877" t="b">
            <v>0</v>
          </cell>
        </row>
        <row r="878">
          <cell r="Z878" t="b">
            <v>0</v>
          </cell>
          <cell r="AA878" t="b">
            <v>0</v>
          </cell>
        </row>
        <row r="879">
          <cell r="Z879" t="b">
            <v>0</v>
          </cell>
          <cell r="AA879" t="b">
            <v>0</v>
          </cell>
        </row>
        <row r="880">
          <cell r="Z880" t="b">
            <v>0</v>
          </cell>
          <cell r="AA880" t="b">
            <v>0</v>
          </cell>
        </row>
        <row r="881">
          <cell r="Z881" t="b">
            <v>0</v>
          </cell>
          <cell r="AA881" t="b">
            <v>0</v>
          </cell>
        </row>
        <row r="882">
          <cell r="Z882" t="b">
            <v>0</v>
          </cell>
          <cell r="AA882" t="b">
            <v>0</v>
          </cell>
        </row>
        <row r="883">
          <cell r="Z883" t="b">
            <v>0</v>
          </cell>
          <cell r="AA883" t="b">
            <v>0</v>
          </cell>
        </row>
        <row r="884">
          <cell r="Z884" t="b">
            <v>0</v>
          </cell>
          <cell r="AA884" t="b">
            <v>0</v>
          </cell>
        </row>
        <row r="885">
          <cell r="Z885" t="b">
            <v>0</v>
          </cell>
          <cell r="AA885" t="b">
            <v>0</v>
          </cell>
        </row>
        <row r="886">
          <cell r="Z886" t="b">
            <v>0</v>
          </cell>
          <cell r="AA886" t="b">
            <v>0</v>
          </cell>
        </row>
        <row r="887">
          <cell r="Z887" t="b">
            <v>0</v>
          </cell>
          <cell r="AA887" t="b">
            <v>0</v>
          </cell>
        </row>
        <row r="888">
          <cell r="Z888" t="b">
            <v>0</v>
          </cell>
          <cell r="AA888" t="b">
            <v>0</v>
          </cell>
        </row>
        <row r="889">
          <cell r="Z889" t="b">
            <v>0</v>
          </cell>
          <cell r="AA889" t="b">
            <v>0</v>
          </cell>
        </row>
        <row r="890">
          <cell r="Z890" t="b">
            <v>0</v>
          </cell>
          <cell r="AA890" t="b">
            <v>0</v>
          </cell>
        </row>
        <row r="891">
          <cell r="Z891" t="b">
            <v>0</v>
          </cell>
          <cell r="AA891" t="b">
            <v>0</v>
          </cell>
        </row>
        <row r="892">
          <cell r="Z892" t="b">
            <v>0</v>
          </cell>
          <cell r="AA892" t="b">
            <v>0</v>
          </cell>
        </row>
        <row r="893">
          <cell r="Z893" t="b">
            <v>0</v>
          </cell>
          <cell r="AA893" t="b">
            <v>0</v>
          </cell>
        </row>
        <row r="894">
          <cell r="Z894" t="b">
            <v>0</v>
          </cell>
          <cell r="AA894" t="b">
            <v>0</v>
          </cell>
        </row>
        <row r="895">
          <cell r="Z895" t="b">
            <v>0</v>
          </cell>
          <cell r="AA895" t="b">
            <v>0</v>
          </cell>
        </row>
        <row r="896">
          <cell r="Z896" t="b">
            <v>0</v>
          </cell>
          <cell r="AA896" t="b">
            <v>0</v>
          </cell>
        </row>
        <row r="897">
          <cell r="Z897" t="b">
            <v>0</v>
          </cell>
          <cell r="AA897" t="b">
            <v>0</v>
          </cell>
        </row>
        <row r="898">
          <cell r="Z898" t="b">
            <v>0</v>
          </cell>
          <cell r="AA898" t="b">
            <v>0</v>
          </cell>
        </row>
        <row r="899">
          <cell r="Z899" t="b">
            <v>0</v>
          </cell>
          <cell r="AA899" t="b">
            <v>0</v>
          </cell>
        </row>
        <row r="900">
          <cell r="Z900" t="b">
            <v>0</v>
          </cell>
          <cell r="AA900" t="b">
            <v>0</v>
          </cell>
        </row>
        <row r="901">
          <cell r="Z901" t="b">
            <v>0</v>
          </cell>
          <cell r="AA901" t="b">
            <v>0</v>
          </cell>
        </row>
        <row r="902">
          <cell r="Z902" t="b">
            <v>0</v>
          </cell>
          <cell r="AA902" t="b">
            <v>0</v>
          </cell>
        </row>
        <row r="903">
          <cell r="Z903" t="b">
            <v>0</v>
          </cell>
          <cell r="AA903" t="b">
            <v>0</v>
          </cell>
        </row>
        <row r="904">
          <cell r="Z904" t="b">
            <v>0</v>
          </cell>
          <cell r="AA904" t="b">
            <v>0</v>
          </cell>
        </row>
        <row r="905">
          <cell r="Z905" t="b">
            <v>0</v>
          </cell>
          <cell r="AA905" t="b">
            <v>0</v>
          </cell>
        </row>
        <row r="906">
          <cell r="Z906" t="b">
            <v>0</v>
          </cell>
          <cell r="AA906" t="b">
            <v>0</v>
          </cell>
        </row>
        <row r="907">
          <cell r="Z907" t="b">
            <v>0</v>
          </cell>
          <cell r="AA907" t="b">
            <v>0</v>
          </cell>
        </row>
        <row r="908">
          <cell r="Z908" t="b">
            <v>0</v>
          </cell>
          <cell r="AA908" t="b">
            <v>0</v>
          </cell>
        </row>
        <row r="909">
          <cell r="Z909" t="b">
            <v>0</v>
          </cell>
          <cell r="AA909" t="b">
            <v>0</v>
          </cell>
        </row>
        <row r="910">
          <cell r="Z910" t="b">
            <v>0</v>
          </cell>
          <cell r="AA910" t="b">
            <v>0</v>
          </cell>
        </row>
        <row r="911">
          <cell r="Z911" t="b">
            <v>0</v>
          </cell>
          <cell r="AA911" t="b">
            <v>0</v>
          </cell>
        </row>
        <row r="912">
          <cell r="Z912" t="b">
            <v>0</v>
          </cell>
          <cell r="AA912" t="b">
            <v>0</v>
          </cell>
        </row>
        <row r="913">
          <cell r="Z913" t="b">
            <v>0</v>
          </cell>
          <cell r="AA913" t="b">
            <v>0</v>
          </cell>
        </row>
        <row r="914">
          <cell r="Z914" t="b">
            <v>0</v>
          </cell>
          <cell r="AA914" t="b">
            <v>0</v>
          </cell>
        </row>
        <row r="915">
          <cell r="Z915" t="b">
            <v>0</v>
          </cell>
          <cell r="AA915" t="b">
            <v>0</v>
          </cell>
        </row>
        <row r="916">
          <cell r="Z916" t="b">
            <v>0</v>
          </cell>
          <cell r="AA916" t="b">
            <v>0</v>
          </cell>
        </row>
        <row r="917">
          <cell r="Z917" t="b">
            <v>0</v>
          </cell>
          <cell r="AA917" t="b">
            <v>0</v>
          </cell>
        </row>
        <row r="918">
          <cell r="Z918" t="b">
            <v>0</v>
          </cell>
          <cell r="AA918" t="b">
            <v>0</v>
          </cell>
        </row>
        <row r="919">
          <cell r="Z919" t="b">
            <v>0</v>
          </cell>
          <cell r="AA919" t="b">
            <v>0</v>
          </cell>
        </row>
        <row r="920">
          <cell r="Z920" t="b">
            <v>0</v>
          </cell>
          <cell r="AA920" t="b">
            <v>0</v>
          </cell>
        </row>
        <row r="921">
          <cell r="Z921" t="b">
            <v>0</v>
          </cell>
          <cell r="AA921" t="b">
            <v>0</v>
          </cell>
        </row>
        <row r="922">
          <cell r="Z922" t="b">
            <v>0</v>
          </cell>
          <cell r="AA922" t="b">
            <v>0</v>
          </cell>
        </row>
        <row r="923">
          <cell r="Z923" t="b">
            <v>0</v>
          </cell>
          <cell r="AA923" t="b">
            <v>0</v>
          </cell>
        </row>
        <row r="924">
          <cell r="Z924" t="b">
            <v>0</v>
          </cell>
          <cell r="AA924" t="b">
            <v>0</v>
          </cell>
        </row>
        <row r="925">
          <cell r="Z925" t="b">
            <v>0</v>
          </cell>
          <cell r="AA925" t="b">
            <v>0</v>
          </cell>
        </row>
        <row r="926">
          <cell r="Z926" t="b">
            <v>0</v>
          </cell>
          <cell r="AA926" t="b">
            <v>0</v>
          </cell>
        </row>
        <row r="927">
          <cell r="Z927" t="b">
            <v>0</v>
          </cell>
          <cell r="AA927" t="b">
            <v>0</v>
          </cell>
        </row>
        <row r="928">
          <cell r="Z928" t="b">
            <v>0</v>
          </cell>
          <cell r="AA928" t="b">
            <v>0</v>
          </cell>
        </row>
        <row r="929">
          <cell r="Z929" t="b">
            <v>0</v>
          </cell>
          <cell r="AA929" t="b">
            <v>0</v>
          </cell>
        </row>
        <row r="930">
          <cell r="Z930" t="b">
            <v>0</v>
          </cell>
          <cell r="AA930" t="b">
            <v>0</v>
          </cell>
        </row>
        <row r="931">
          <cell r="Z931" t="b">
            <v>0</v>
          </cell>
          <cell r="AA931" t="b">
            <v>0</v>
          </cell>
        </row>
        <row r="932">
          <cell r="Z932" t="b">
            <v>0</v>
          </cell>
          <cell r="AA932" t="b">
            <v>0</v>
          </cell>
        </row>
        <row r="933">
          <cell r="Z933" t="b">
            <v>0</v>
          </cell>
          <cell r="AA933" t="b">
            <v>0</v>
          </cell>
        </row>
        <row r="934">
          <cell r="Z934" t="b">
            <v>0</v>
          </cell>
          <cell r="AA934" t="b">
            <v>0</v>
          </cell>
        </row>
        <row r="935">
          <cell r="Z935" t="b">
            <v>0</v>
          </cell>
          <cell r="AA935" t="b">
            <v>0</v>
          </cell>
        </row>
        <row r="936">
          <cell r="Z936" t="b">
            <v>0</v>
          </cell>
          <cell r="AA936" t="b">
            <v>0</v>
          </cell>
        </row>
        <row r="937">
          <cell r="Z937" t="b">
            <v>0</v>
          </cell>
          <cell r="AA937" t="b">
            <v>0</v>
          </cell>
        </row>
        <row r="938">
          <cell r="Z938" t="b">
            <v>0</v>
          </cell>
          <cell r="AA938" t="b">
            <v>0</v>
          </cell>
        </row>
        <row r="939">
          <cell r="Z939" t="b">
            <v>0</v>
          </cell>
          <cell r="AA939" t="b">
            <v>0</v>
          </cell>
        </row>
        <row r="940">
          <cell r="Z940" t="b">
            <v>0</v>
          </cell>
          <cell r="AA940" t="b">
            <v>0</v>
          </cell>
        </row>
        <row r="941">
          <cell r="Z941" t="b">
            <v>0</v>
          </cell>
          <cell r="AA941" t="b">
            <v>0</v>
          </cell>
        </row>
        <row r="942">
          <cell r="Z942" t="b">
            <v>0</v>
          </cell>
          <cell r="AA942" t="b">
            <v>0</v>
          </cell>
        </row>
        <row r="943">
          <cell r="Z943" t="b">
            <v>0</v>
          </cell>
          <cell r="AA943" t="b">
            <v>0</v>
          </cell>
        </row>
        <row r="944">
          <cell r="Z944" t="b">
            <v>0</v>
          </cell>
          <cell r="AA944" t="b">
            <v>0</v>
          </cell>
        </row>
        <row r="945">
          <cell r="Z945" t="b">
            <v>0</v>
          </cell>
          <cell r="AA945" t="b">
            <v>0</v>
          </cell>
        </row>
        <row r="946">
          <cell r="Z946" t="b">
            <v>0</v>
          </cell>
          <cell r="AA946" t="b">
            <v>0</v>
          </cell>
        </row>
        <row r="947">
          <cell r="Z947" t="b">
            <v>0</v>
          </cell>
          <cell r="AA947" t="b">
            <v>0</v>
          </cell>
        </row>
        <row r="948">
          <cell r="Z948" t="b">
            <v>0</v>
          </cell>
          <cell r="AA948" t="b">
            <v>0</v>
          </cell>
        </row>
        <row r="949">
          <cell r="Z949" t="b">
            <v>0</v>
          </cell>
          <cell r="AA949" t="b">
            <v>0</v>
          </cell>
        </row>
        <row r="950">
          <cell r="Z950" t="b">
            <v>0</v>
          </cell>
          <cell r="AA950" t="b">
            <v>0</v>
          </cell>
        </row>
        <row r="951">
          <cell r="Z951" t="b">
            <v>0</v>
          </cell>
          <cell r="AA951" t="b">
            <v>0</v>
          </cell>
        </row>
        <row r="952">
          <cell r="Z952" t="b">
            <v>0</v>
          </cell>
          <cell r="AA952" t="b">
            <v>0</v>
          </cell>
        </row>
        <row r="953">
          <cell r="Z953" t="b">
            <v>0</v>
          </cell>
          <cell r="AA953" t="b">
            <v>0</v>
          </cell>
        </row>
        <row r="954">
          <cell r="Z954" t="b">
            <v>0</v>
          </cell>
          <cell r="AA954" t="b">
            <v>0</v>
          </cell>
        </row>
        <row r="955">
          <cell r="Z955" t="b">
            <v>0</v>
          </cell>
          <cell r="AA955" t="b">
            <v>0</v>
          </cell>
        </row>
        <row r="956">
          <cell r="Z956" t="b">
            <v>0</v>
          </cell>
          <cell r="AA956" t="b">
            <v>0</v>
          </cell>
        </row>
        <row r="957">
          <cell r="Z957" t="b">
            <v>0</v>
          </cell>
          <cell r="AA957" t="b">
            <v>0</v>
          </cell>
        </row>
        <row r="958">
          <cell r="Z958" t="b">
            <v>0</v>
          </cell>
          <cell r="AA958" t="b">
            <v>0</v>
          </cell>
        </row>
        <row r="959">
          <cell r="Z959" t="b">
            <v>0</v>
          </cell>
          <cell r="AA959" t="b">
            <v>0</v>
          </cell>
        </row>
        <row r="960">
          <cell r="Z960" t="b">
            <v>0</v>
          </cell>
          <cell r="AA960" t="b">
            <v>0</v>
          </cell>
        </row>
        <row r="961">
          <cell r="Z961" t="b">
            <v>0</v>
          </cell>
          <cell r="AA961" t="b">
            <v>0</v>
          </cell>
        </row>
        <row r="962">
          <cell r="Z962" t="b">
            <v>0</v>
          </cell>
          <cell r="AA962" t="b">
            <v>0</v>
          </cell>
        </row>
        <row r="963">
          <cell r="Z963" t="b">
            <v>0</v>
          </cell>
          <cell r="AA963" t="b">
            <v>0</v>
          </cell>
        </row>
        <row r="964">
          <cell r="Z964" t="b">
            <v>0</v>
          </cell>
          <cell r="AA964" t="b">
            <v>0</v>
          </cell>
        </row>
        <row r="965">
          <cell r="Z965" t="b">
            <v>0</v>
          </cell>
          <cell r="AA965" t="b">
            <v>0</v>
          </cell>
        </row>
        <row r="966">
          <cell r="Z966" t="b">
            <v>0</v>
          </cell>
          <cell r="AA966" t="b">
            <v>0</v>
          </cell>
        </row>
        <row r="967">
          <cell r="Z967" t="b">
            <v>0</v>
          </cell>
          <cell r="AA967" t="b">
            <v>0</v>
          </cell>
        </row>
        <row r="968">
          <cell r="Z968" t="b">
            <v>0</v>
          </cell>
          <cell r="AA968" t="b">
            <v>0</v>
          </cell>
        </row>
        <row r="969">
          <cell r="Z969" t="b">
            <v>0</v>
          </cell>
          <cell r="AA969" t="b">
            <v>0</v>
          </cell>
        </row>
        <row r="970">
          <cell r="Z970" t="b">
            <v>0</v>
          </cell>
          <cell r="AA970" t="b">
            <v>0</v>
          </cell>
        </row>
        <row r="971">
          <cell r="Z971" t="b">
            <v>0</v>
          </cell>
          <cell r="AA971" t="b">
            <v>0</v>
          </cell>
        </row>
        <row r="972">
          <cell r="Z972" t="b">
            <v>0</v>
          </cell>
          <cell r="AA972" t="b">
            <v>0</v>
          </cell>
        </row>
        <row r="973">
          <cell r="Z973" t="b">
            <v>0</v>
          </cell>
          <cell r="AA973" t="b">
            <v>0</v>
          </cell>
        </row>
        <row r="974">
          <cell r="Z974" t="b">
            <v>0</v>
          </cell>
          <cell r="AA974" t="b">
            <v>0</v>
          </cell>
        </row>
        <row r="975">
          <cell r="Z975" t="b">
            <v>0</v>
          </cell>
          <cell r="AA975" t="b">
            <v>0</v>
          </cell>
        </row>
        <row r="976">
          <cell r="Z976" t="b">
            <v>0</v>
          </cell>
          <cell r="AA976" t="b">
            <v>0</v>
          </cell>
        </row>
        <row r="977">
          <cell r="Z977" t="b">
            <v>0</v>
          </cell>
          <cell r="AA977" t="b">
            <v>0</v>
          </cell>
        </row>
        <row r="978">
          <cell r="Z978" t="b">
            <v>0</v>
          </cell>
          <cell r="AA978" t="b">
            <v>0</v>
          </cell>
        </row>
        <row r="979">
          <cell r="Z979" t="b">
            <v>0</v>
          </cell>
          <cell r="AA979" t="b">
            <v>0</v>
          </cell>
        </row>
        <row r="980">
          <cell r="Z980" t="b">
            <v>0</v>
          </cell>
          <cell r="AA980" t="b">
            <v>0</v>
          </cell>
        </row>
        <row r="981">
          <cell r="Z981" t="b">
            <v>0</v>
          </cell>
          <cell r="AA981" t="b">
            <v>0</v>
          </cell>
        </row>
        <row r="982">
          <cell r="Z982" t="b">
            <v>0</v>
          </cell>
          <cell r="AA982" t="b">
            <v>0</v>
          </cell>
        </row>
        <row r="983">
          <cell r="Z983" t="b">
            <v>0</v>
          </cell>
          <cell r="AA983" t="b">
            <v>0</v>
          </cell>
        </row>
        <row r="984">
          <cell r="Z984" t="b">
            <v>0</v>
          </cell>
          <cell r="AA984" t="b">
            <v>0</v>
          </cell>
        </row>
        <row r="985">
          <cell r="Z985" t="b">
            <v>0</v>
          </cell>
          <cell r="AA985" t="b">
            <v>0</v>
          </cell>
        </row>
        <row r="986">
          <cell r="Z986" t="b">
            <v>0</v>
          </cell>
          <cell r="AA986" t="b">
            <v>0</v>
          </cell>
        </row>
        <row r="987">
          <cell r="Z987" t="b">
            <v>0</v>
          </cell>
          <cell r="AA987" t="b">
            <v>0</v>
          </cell>
        </row>
        <row r="988">
          <cell r="Z988" t="b">
            <v>0</v>
          </cell>
          <cell r="AA988" t="b">
            <v>0</v>
          </cell>
        </row>
        <row r="989">
          <cell r="Z989" t="b">
            <v>0</v>
          </cell>
          <cell r="AA989" t="b">
            <v>0</v>
          </cell>
        </row>
        <row r="990">
          <cell r="Z990" t="b">
            <v>0</v>
          </cell>
          <cell r="AA990" t="b">
            <v>0</v>
          </cell>
        </row>
        <row r="991">
          <cell r="Z991" t="b">
            <v>0</v>
          </cell>
          <cell r="AA991" t="b">
            <v>0</v>
          </cell>
        </row>
        <row r="992">
          <cell r="Z992" t="b">
            <v>0</v>
          </cell>
          <cell r="AA992" t="b">
            <v>0</v>
          </cell>
        </row>
        <row r="993">
          <cell r="Z993" t="b">
            <v>0</v>
          </cell>
          <cell r="AA993" t="b">
            <v>0</v>
          </cell>
        </row>
        <row r="994">
          <cell r="Z994" t="b">
            <v>0</v>
          </cell>
          <cell r="AA994" t="b">
            <v>0</v>
          </cell>
        </row>
        <row r="995">
          <cell r="Z995" t="b">
            <v>0</v>
          </cell>
          <cell r="AA995" t="b">
            <v>0</v>
          </cell>
        </row>
        <row r="996">
          <cell r="Z996" t="b">
            <v>0</v>
          </cell>
          <cell r="AA996" t="b">
            <v>0</v>
          </cell>
        </row>
        <row r="997">
          <cell r="Z997" t="b">
            <v>0</v>
          </cell>
          <cell r="AA997" t="b">
            <v>0</v>
          </cell>
        </row>
        <row r="998">
          <cell r="Z998" t="b">
            <v>0</v>
          </cell>
          <cell r="AA998" t="b">
            <v>0</v>
          </cell>
        </row>
        <row r="999">
          <cell r="Z999" t="b">
            <v>0</v>
          </cell>
          <cell r="AA999" t="b">
            <v>0</v>
          </cell>
        </row>
        <row r="1000">
          <cell r="Z1000" t="b">
            <v>0</v>
          </cell>
          <cell r="AA1000" t="b">
            <v>0</v>
          </cell>
        </row>
        <row r="1001">
          <cell r="Z1001" t="b">
            <v>0</v>
          </cell>
          <cell r="AA1001" t="b">
            <v>0</v>
          </cell>
        </row>
        <row r="1002">
          <cell r="Z1002" t="b">
            <v>0</v>
          </cell>
          <cell r="AA1002" t="b">
            <v>0</v>
          </cell>
        </row>
        <row r="1003">
          <cell r="Z1003" t="b">
            <v>0</v>
          </cell>
          <cell r="AA1003" t="b">
            <v>0</v>
          </cell>
        </row>
        <row r="1004">
          <cell r="Z1004" t="b">
            <v>0</v>
          </cell>
          <cell r="AA1004" t="b">
            <v>0</v>
          </cell>
        </row>
        <row r="1005">
          <cell r="Z1005" t="b">
            <v>0</v>
          </cell>
          <cell r="AA1005" t="b">
            <v>0</v>
          </cell>
        </row>
        <row r="1006">
          <cell r="Z1006" t="b">
            <v>0</v>
          </cell>
          <cell r="AA1006" t="b">
            <v>0</v>
          </cell>
        </row>
        <row r="1007">
          <cell r="Z1007" t="b">
            <v>0</v>
          </cell>
          <cell r="AA1007" t="b">
            <v>0</v>
          </cell>
        </row>
        <row r="1008">
          <cell r="Z1008" t="b">
            <v>0</v>
          </cell>
          <cell r="AA1008" t="b">
            <v>0</v>
          </cell>
        </row>
        <row r="1009">
          <cell r="Z1009" t="b">
            <v>0</v>
          </cell>
          <cell r="AA1009" t="b">
            <v>0</v>
          </cell>
        </row>
        <row r="1010">
          <cell r="Z1010" t="b">
            <v>0</v>
          </cell>
          <cell r="AA1010" t="b">
            <v>0</v>
          </cell>
        </row>
        <row r="1011">
          <cell r="Z1011" t="b">
            <v>0</v>
          </cell>
          <cell r="AA1011" t="b">
            <v>0</v>
          </cell>
        </row>
        <row r="1012">
          <cell r="Z1012" t="b">
            <v>0</v>
          </cell>
          <cell r="AA1012" t="b">
            <v>0</v>
          </cell>
        </row>
        <row r="1013">
          <cell r="Z1013" t="b">
            <v>0</v>
          </cell>
          <cell r="AA1013" t="b">
            <v>0</v>
          </cell>
        </row>
        <row r="1014">
          <cell r="Z1014" t="b">
            <v>0</v>
          </cell>
          <cell r="AA1014" t="b">
            <v>0</v>
          </cell>
        </row>
        <row r="1015">
          <cell r="Z1015" t="b">
            <v>0</v>
          </cell>
          <cell r="AA1015" t="b">
            <v>0</v>
          </cell>
        </row>
        <row r="1016">
          <cell r="Z1016" t="b">
            <v>0</v>
          </cell>
          <cell r="AA1016" t="b">
            <v>0</v>
          </cell>
        </row>
        <row r="1017">
          <cell r="Z1017" t="b">
            <v>0</v>
          </cell>
          <cell r="AA1017" t="b">
            <v>0</v>
          </cell>
        </row>
        <row r="1018">
          <cell r="Z1018" t="b">
            <v>0</v>
          </cell>
          <cell r="AA1018" t="b">
            <v>0</v>
          </cell>
        </row>
        <row r="1019">
          <cell r="Z1019" t="b">
            <v>0</v>
          </cell>
          <cell r="AA1019" t="b">
            <v>0</v>
          </cell>
        </row>
        <row r="1020">
          <cell r="Z1020" t="b">
            <v>0</v>
          </cell>
          <cell r="AA1020" t="b">
            <v>0</v>
          </cell>
        </row>
        <row r="1021">
          <cell r="Z1021" t="b">
            <v>0</v>
          </cell>
          <cell r="AA1021" t="b">
            <v>0</v>
          </cell>
        </row>
        <row r="1022">
          <cell r="Z1022" t="b">
            <v>0</v>
          </cell>
          <cell r="AA1022" t="b">
            <v>0</v>
          </cell>
        </row>
        <row r="1023">
          <cell r="Z1023" t="b">
            <v>0</v>
          </cell>
          <cell r="AA1023" t="b">
            <v>0</v>
          </cell>
        </row>
        <row r="1024">
          <cell r="Z1024" t="b">
            <v>0</v>
          </cell>
          <cell r="AA1024" t="b">
            <v>0</v>
          </cell>
        </row>
        <row r="1025">
          <cell r="Z1025" t="b">
            <v>0</v>
          </cell>
          <cell r="AA1025" t="b">
            <v>0</v>
          </cell>
        </row>
        <row r="1026">
          <cell r="Z1026" t="b">
            <v>0</v>
          </cell>
          <cell r="AA1026" t="b">
            <v>0</v>
          </cell>
        </row>
        <row r="1027">
          <cell r="Z1027" t="b">
            <v>0</v>
          </cell>
          <cell r="AA1027" t="b">
            <v>0</v>
          </cell>
        </row>
        <row r="1028">
          <cell r="Z1028" t="b">
            <v>0</v>
          </cell>
          <cell r="AA1028" t="b">
            <v>0</v>
          </cell>
        </row>
        <row r="1029">
          <cell r="Z1029" t="b">
            <v>0</v>
          </cell>
          <cell r="AA1029" t="b">
            <v>0</v>
          </cell>
        </row>
        <row r="1030">
          <cell r="Z1030" t="b">
            <v>0</v>
          </cell>
          <cell r="AA1030" t="b">
            <v>0</v>
          </cell>
        </row>
        <row r="1031">
          <cell r="Z1031" t="b">
            <v>0</v>
          </cell>
          <cell r="AA1031" t="b">
            <v>0</v>
          </cell>
        </row>
        <row r="1032">
          <cell r="Z1032" t="b">
            <v>0</v>
          </cell>
          <cell r="AA1032" t="b">
            <v>0</v>
          </cell>
        </row>
        <row r="1033">
          <cell r="Z1033" t="b">
            <v>0</v>
          </cell>
          <cell r="AA1033" t="b">
            <v>0</v>
          </cell>
        </row>
        <row r="1034">
          <cell r="Z1034" t="b">
            <v>0</v>
          </cell>
          <cell r="AA1034" t="b">
            <v>0</v>
          </cell>
        </row>
        <row r="1035">
          <cell r="Z1035" t="b">
            <v>0</v>
          </cell>
          <cell r="AA1035" t="b">
            <v>0</v>
          </cell>
        </row>
        <row r="1036">
          <cell r="Z1036" t="b">
            <v>0</v>
          </cell>
          <cell r="AA1036" t="b">
            <v>0</v>
          </cell>
        </row>
        <row r="1037">
          <cell r="Z1037" t="b">
            <v>0</v>
          </cell>
          <cell r="AA1037" t="b">
            <v>0</v>
          </cell>
        </row>
        <row r="1038">
          <cell r="Z1038" t="b">
            <v>0</v>
          </cell>
          <cell r="AA1038" t="b">
            <v>0</v>
          </cell>
        </row>
        <row r="1039">
          <cell r="Z1039" t="b">
            <v>0</v>
          </cell>
          <cell r="AA1039" t="b">
            <v>0</v>
          </cell>
        </row>
        <row r="1040">
          <cell r="Z1040" t="b">
            <v>0</v>
          </cell>
          <cell r="AA1040" t="b">
            <v>0</v>
          </cell>
        </row>
        <row r="1041">
          <cell r="Z1041" t="b">
            <v>0</v>
          </cell>
          <cell r="AA1041" t="b">
            <v>0</v>
          </cell>
        </row>
        <row r="1042">
          <cell r="Z1042" t="b">
            <v>0</v>
          </cell>
          <cell r="AA1042" t="b">
            <v>0</v>
          </cell>
        </row>
        <row r="1043">
          <cell r="Z1043" t="b">
            <v>0</v>
          </cell>
          <cell r="AA1043" t="b">
            <v>0</v>
          </cell>
        </row>
        <row r="1044">
          <cell r="Z1044" t="b">
            <v>0</v>
          </cell>
          <cell r="AA1044" t="b">
            <v>0</v>
          </cell>
        </row>
        <row r="1045">
          <cell r="Z1045" t="b">
            <v>0</v>
          </cell>
          <cell r="AA1045" t="b">
            <v>0</v>
          </cell>
        </row>
        <row r="1046">
          <cell r="Z1046" t="b">
            <v>0</v>
          </cell>
          <cell r="AA1046" t="b">
            <v>0</v>
          </cell>
        </row>
        <row r="1047">
          <cell r="Z1047" t="b">
            <v>0</v>
          </cell>
          <cell r="AA1047" t="b">
            <v>0</v>
          </cell>
        </row>
        <row r="1048">
          <cell r="Z1048" t="b">
            <v>0</v>
          </cell>
          <cell r="AA1048" t="b">
            <v>0</v>
          </cell>
        </row>
        <row r="1049">
          <cell r="Z1049" t="b">
            <v>0</v>
          </cell>
          <cell r="AA1049" t="b">
            <v>0</v>
          </cell>
        </row>
        <row r="1050">
          <cell r="Z1050" t="b">
            <v>0</v>
          </cell>
          <cell r="AA1050" t="b">
            <v>0</v>
          </cell>
        </row>
        <row r="1051">
          <cell r="Z1051" t="b">
            <v>0</v>
          </cell>
          <cell r="AA1051" t="b">
            <v>0</v>
          </cell>
        </row>
        <row r="1052">
          <cell r="Z1052" t="b">
            <v>0</v>
          </cell>
          <cell r="AA1052" t="b">
            <v>0</v>
          </cell>
        </row>
        <row r="1053">
          <cell r="Z1053" t="b">
            <v>0</v>
          </cell>
          <cell r="AA1053" t="b">
            <v>0</v>
          </cell>
        </row>
        <row r="1054">
          <cell r="Z1054" t="b">
            <v>0</v>
          </cell>
          <cell r="AA1054" t="b">
            <v>0</v>
          </cell>
        </row>
        <row r="1055">
          <cell r="Z1055" t="b">
            <v>0</v>
          </cell>
          <cell r="AA1055" t="b">
            <v>0</v>
          </cell>
        </row>
        <row r="1056">
          <cell r="Z1056" t="b">
            <v>0</v>
          </cell>
          <cell r="AA1056" t="b">
            <v>0</v>
          </cell>
        </row>
        <row r="1057">
          <cell r="Z1057" t="b">
            <v>0</v>
          </cell>
          <cell r="AA1057" t="b">
            <v>0</v>
          </cell>
        </row>
        <row r="1058">
          <cell r="Z1058" t="b">
            <v>0</v>
          </cell>
          <cell r="AA1058" t="b">
            <v>0</v>
          </cell>
        </row>
        <row r="1059">
          <cell r="Z1059" t="b">
            <v>0</v>
          </cell>
          <cell r="AA1059" t="b">
            <v>0</v>
          </cell>
        </row>
        <row r="1060">
          <cell r="Z1060" t="b">
            <v>0</v>
          </cell>
          <cell r="AA1060" t="b">
            <v>0</v>
          </cell>
        </row>
        <row r="1061">
          <cell r="Z1061" t="b">
            <v>0</v>
          </cell>
          <cell r="AA1061" t="b">
            <v>0</v>
          </cell>
        </row>
        <row r="1062">
          <cell r="Z1062" t="b">
            <v>0</v>
          </cell>
          <cell r="AA1062" t="b">
            <v>0</v>
          </cell>
        </row>
        <row r="1063">
          <cell r="Z1063" t="b">
            <v>0</v>
          </cell>
          <cell r="AA1063" t="b">
            <v>0</v>
          </cell>
        </row>
        <row r="1064">
          <cell r="Z1064" t="b">
            <v>0</v>
          </cell>
          <cell r="AA1064" t="b">
            <v>0</v>
          </cell>
        </row>
        <row r="1065">
          <cell r="Z1065" t="b">
            <v>0</v>
          </cell>
          <cell r="AA1065" t="b">
            <v>0</v>
          </cell>
        </row>
        <row r="1066">
          <cell r="Z1066" t="b">
            <v>0</v>
          </cell>
          <cell r="AA1066" t="b">
            <v>0</v>
          </cell>
        </row>
        <row r="1067">
          <cell r="Z1067" t="b">
            <v>0</v>
          </cell>
          <cell r="AA1067" t="b">
            <v>0</v>
          </cell>
        </row>
        <row r="1068">
          <cell r="Z1068" t="b">
            <v>0</v>
          </cell>
          <cell r="AA1068" t="b">
            <v>0</v>
          </cell>
        </row>
        <row r="1069">
          <cell r="Z1069" t="b">
            <v>0</v>
          </cell>
          <cell r="AA1069" t="b">
            <v>0</v>
          </cell>
        </row>
        <row r="1070">
          <cell r="Z1070" t="b">
            <v>0</v>
          </cell>
          <cell r="AA1070" t="b">
            <v>0</v>
          </cell>
        </row>
        <row r="1071">
          <cell r="Z1071" t="b">
            <v>0</v>
          </cell>
          <cell r="AA1071" t="b">
            <v>0</v>
          </cell>
        </row>
        <row r="1072">
          <cell r="Z1072" t="b">
            <v>0</v>
          </cell>
          <cell r="AA1072" t="b">
            <v>0</v>
          </cell>
        </row>
        <row r="1073">
          <cell r="Z1073" t="b">
            <v>0</v>
          </cell>
          <cell r="AA1073" t="b">
            <v>0</v>
          </cell>
        </row>
        <row r="1074">
          <cell r="Z1074" t="b">
            <v>0</v>
          </cell>
          <cell r="AA1074" t="b">
            <v>0</v>
          </cell>
        </row>
        <row r="1075">
          <cell r="Z1075" t="b">
            <v>0</v>
          </cell>
          <cell r="AA1075" t="b">
            <v>0</v>
          </cell>
        </row>
        <row r="1076">
          <cell r="Z1076" t="b">
            <v>0</v>
          </cell>
          <cell r="AA1076" t="b">
            <v>0</v>
          </cell>
        </row>
        <row r="1077">
          <cell r="Z1077" t="b">
            <v>0</v>
          </cell>
          <cell r="AA1077" t="b">
            <v>0</v>
          </cell>
        </row>
        <row r="1078">
          <cell r="Z1078" t="b">
            <v>0</v>
          </cell>
          <cell r="AA1078" t="b">
            <v>0</v>
          </cell>
        </row>
        <row r="1079">
          <cell r="Z1079" t="b">
            <v>0</v>
          </cell>
          <cell r="AA1079" t="b">
            <v>0</v>
          </cell>
        </row>
        <row r="1080">
          <cell r="Z1080" t="b">
            <v>0</v>
          </cell>
          <cell r="AA1080" t="b">
            <v>0</v>
          </cell>
        </row>
        <row r="1081">
          <cell r="Z1081" t="b">
            <v>0</v>
          </cell>
          <cell r="AA1081" t="b">
            <v>0</v>
          </cell>
        </row>
        <row r="1082">
          <cell r="Z1082" t="b">
            <v>0</v>
          </cell>
          <cell r="AA1082" t="b">
            <v>0</v>
          </cell>
        </row>
        <row r="1083">
          <cell r="Z1083" t="b">
            <v>0</v>
          </cell>
          <cell r="AA1083" t="b">
            <v>0</v>
          </cell>
        </row>
        <row r="1084">
          <cell r="Z1084" t="b">
            <v>0</v>
          </cell>
          <cell r="AA1084" t="b">
            <v>0</v>
          </cell>
        </row>
        <row r="1085">
          <cell r="Z1085" t="b">
            <v>0</v>
          </cell>
          <cell r="AA1085" t="b">
            <v>0</v>
          </cell>
        </row>
        <row r="1086">
          <cell r="Z1086" t="b">
            <v>0</v>
          </cell>
          <cell r="AA1086" t="b">
            <v>0</v>
          </cell>
        </row>
        <row r="1087">
          <cell r="Z1087" t="b">
            <v>0</v>
          </cell>
          <cell r="AA1087" t="b">
            <v>0</v>
          </cell>
        </row>
        <row r="1088">
          <cell r="Z1088" t="b">
            <v>0</v>
          </cell>
          <cell r="AA1088" t="b">
            <v>0</v>
          </cell>
        </row>
        <row r="1089">
          <cell r="Z1089" t="b">
            <v>0</v>
          </cell>
          <cell r="AA1089" t="b">
            <v>0</v>
          </cell>
        </row>
        <row r="1090">
          <cell r="Z1090" t="b">
            <v>0</v>
          </cell>
          <cell r="AA1090" t="b">
            <v>0</v>
          </cell>
        </row>
        <row r="1091">
          <cell r="Z1091" t="b">
            <v>0</v>
          </cell>
          <cell r="AA1091" t="b">
            <v>0</v>
          </cell>
        </row>
        <row r="1092">
          <cell r="Z1092" t="b">
            <v>0</v>
          </cell>
          <cell r="AA1092" t="b">
            <v>0</v>
          </cell>
        </row>
        <row r="1093">
          <cell r="Z1093" t="b">
            <v>0</v>
          </cell>
          <cell r="AA1093" t="b">
            <v>0</v>
          </cell>
        </row>
        <row r="1094">
          <cell r="Z1094" t="b">
            <v>0</v>
          </cell>
          <cell r="AA1094" t="b">
            <v>0</v>
          </cell>
        </row>
        <row r="1095">
          <cell r="Z1095" t="b">
            <v>0</v>
          </cell>
          <cell r="AA1095" t="b">
            <v>0</v>
          </cell>
        </row>
        <row r="1096">
          <cell r="Z1096" t="b">
            <v>0</v>
          </cell>
          <cell r="AA1096" t="b">
            <v>0</v>
          </cell>
        </row>
        <row r="1097">
          <cell r="Z1097" t="b">
            <v>0</v>
          </cell>
          <cell r="AA1097" t="b">
            <v>0</v>
          </cell>
        </row>
        <row r="1098">
          <cell r="Z1098" t="b">
            <v>0</v>
          </cell>
          <cell r="AA1098" t="b">
            <v>0</v>
          </cell>
        </row>
        <row r="1099">
          <cell r="Z1099" t="b">
            <v>0</v>
          </cell>
          <cell r="AA1099" t="b">
            <v>0</v>
          </cell>
        </row>
        <row r="1100">
          <cell r="Z1100" t="b">
            <v>0</v>
          </cell>
          <cell r="AA1100" t="b">
            <v>0</v>
          </cell>
        </row>
        <row r="1101">
          <cell r="Z1101" t="b">
            <v>0</v>
          </cell>
          <cell r="AA1101" t="b">
            <v>0</v>
          </cell>
        </row>
        <row r="1102">
          <cell r="Z1102" t="b">
            <v>0</v>
          </cell>
          <cell r="AA1102" t="b">
            <v>0</v>
          </cell>
        </row>
        <row r="1103">
          <cell r="Z1103" t="b">
            <v>0</v>
          </cell>
          <cell r="AA1103" t="b">
            <v>0</v>
          </cell>
        </row>
        <row r="1104">
          <cell r="Z1104" t="b">
            <v>0</v>
          </cell>
          <cell r="AA1104" t="b">
            <v>0</v>
          </cell>
        </row>
        <row r="1105">
          <cell r="Z1105" t="b">
            <v>0</v>
          </cell>
          <cell r="AA1105" t="b">
            <v>0</v>
          </cell>
        </row>
        <row r="1106">
          <cell r="Z1106" t="b">
            <v>0</v>
          </cell>
          <cell r="AA1106" t="b">
            <v>0</v>
          </cell>
        </row>
        <row r="1107">
          <cell r="Z1107" t="b">
            <v>0</v>
          </cell>
          <cell r="AA1107" t="b">
            <v>0</v>
          </cell>
        </row>
        <row r="1108">
          <cell r="Z1108" t="b">
            <v>0</v>
          </cell>
          <cell r="AA1108" t="b">
            <v>0</v>
          </cell>
        </row>
        <row r="1109">
          <cell r="Z1109" t="b">
            <v>0</v>
          </cell>
          <cell r="AA1109" t="b">
            <v>0</v>
          </cell>
        </row>
        <row r="1110">
          <cell r="Z1110" t="b">
            <v>0</v>
          </cell>
          <cell r="AA1110" t="b">
            <v>0</v>
          </cell>
        </row>
        <row r="1111">
          <cell r="Z1111" t="b">
            <v>0</v>
          </cell>
          <cell r="AA1111" t="b">
            <v>0</v>
          </cell>
        </row>
        <row r="1112">
          <cell r="Z1112" t="b">
            <v>0</v>
          </cell>
          <cell r="AA1112" t="b">
            <v>0</v>
          </cell>
        </row>
        <row r="1113">
          <cell r="Z1113" t="b">
            <v>0</v>
          </cell>
          <cell r="AA1113" t="b">
            <v>0</v>
          </cell>
        </row>
        <row r="1114">
          <cell r="Z1114" t="b">
            <v>0</v>
          </cell>
          <cell r="AA1114" t="b">
            <v>0</v>
          </cell>
        </row>
        <row r="1115">
          <cell r="Z1115" t="b">
            <v>0</v>
          </cell>
          <cell r="AA1115" t="b">
            <v>0</v>
          </cell>
        </row>
        <row r="1116">
          <cell r="Z1116" t="b">
            <v>0</v>
          </cell>
          <cell r="AA1116" t="b">
            <v>0</v>
          </cell>
        </row>
        <row r="1117">
          <cell r="Z1117" t="b">
            <v>0</v>
          </cell>
          <cell r="AA1117" t="b">
            <v>0</v>
          </cell>
        </row>
        <row r="1118">
          <cell r="Z1118" t="b">
            <v>0</v>
          </cell>
          <cell r="AA1118" t="b">
            <v>0</v>
          </cell>
        </row>
        <row r="1119">
          <cell r="Z1119" t="b">
            <v>0</v>
          </cell>
          <cell r="AA1119" t="b">
            <v>0</v>
          </cell>
        </row>
        <row r="1120">
          <cell r="Z1120" t="b">
            <v>0</v>
          </cell>
          <cell r="AA1120" t="b">
            <v>0</v>
          </cell>
        </row>
        <row r="1121">
          <cell r="Z1121" t="b">
            <v>0</v>
          </cell>
          <cell r="AA1121" t="b">
            <v>0</v>
          </cell>
        </row>
        <row r="1122">
          <cell r="Z1122" t="b">
            <v>0</v>
          </cell>
          <cell r="AA1122" t="b">
            <v>0</v>
          </cell>
        </row>
        <row r="1123">
          <cell r="Z1123" t="b">
            <v>0</v>
          </cell>
          <cell r="AA1123" t="b">
            <v>0</v>
          </cell>
        </row>
        <row r="1124">
          <cell r="Z1124" t="b">
            <v>0</v>
          </cell>
          <cell r="AA1124" t="b">
            <v>0</v>
          </cell>
        </row>
        <row r="1125">
          <cell r="Z1125" t="b">
            <v>0</v>
          </cell>
          <cell r="AA1125" t="b">
            <v>0</v>
          </cell>
        </row>
        <row r="1126">
          <cell r="Z1126" t="b">
            <v>0</v>
          </cell>
          <cell r="AA1126" t="b">
            <v>0</v>
          </cell>
        </row>
        <row r="1127">
          <cell r="Z1127" t="b">
            <v>0</v>
          </cell>
          <cell r="AA1127" t="b">
            <v>0</v>
          </cell>
        </row>
        <row r="1128">
          <cell r="Z1128" t="b">
            <v>0</v>
          </cell>
          <cell r="AA1128" t="b">
            <v>0</v>
          </cell>
        </row>
        <row r="1129">
          <cell r="Z1129" t="b">
            <v>0</v>
          </cell>
          <cell r="AA1129" t="b">
            <v>0</v>
          </cell>
        </row>
        <row r="1130">
          <cell r="Z1130" t="b">
            <v>0</v>
          </cell>
          <cell r="AA1130" t="b">
            <v>0</v>
          </cell>
        </row>
        <row r="1131">
          <cell r="Z1131" t="b">
            <v>0</v>
          </cell>
          <cell r="AA1131" t="b">
            <v>0</v>
          </cell>
        </row>
        <row r="1132">
          <cell r="Z1132" t="b">
            <v>0</v>
          </cell>
          <cell r="AA1132" t="b">
            <v>0</v>
          </cell>
        </row>
        <row r="1133">
          <cell r="Z1133" t="b">
            <v>0</v>
          </cell>
          <cell r="AA1133" t="b">
            <v>0</v>
          </cell>
        </row>
        <row r="1134">
          <cell r="Z1134" t="b">
            <v>0</v>
          </cell>
          <cell r="AA1134" t="b">
            <v>0</v>
          </cell>
        </row>
        <row r="1135">
          <cell r="Z1135" t="b">
            <v>0</v>
          </cell>
          <cell r="AA1135" t="b">
            <v>0</v>
          </cell>
        </row>
        <row r="1136">
          <cell r="Z1136" t="b">
            <v>0</v>
          </cell>
          <cell r="AA1136" t="b">
            <v>0</v>
          </cell>
        </row>
        <row r="1137">
          <cell r="Z1137" t="b">
            <v>0</v>
          </cell>
          <cell r="AA1137" t="b">
            <v>0</v>
          </cell>
        </row>
        <row r="1138">
          <cell r="Z1138" t="b">
            <v>0</v>
          </cell>
          <cell r="AA1138" t="b">
            <v>0</v>
          </cell>
        </row>
        <row r="1139">
          <cell r="Z1139" t="b">
            <v>0</v>
          </cell>
          <cell r="AA1139" t="b">
            <v>0</v>
          </cell>
        </row>
        <row r="1140">
          <cell r="Z1140" t="b">
            <v>0</v>
          </cell>
          <cell r="AA1140" t="b">
            <v>0</v>
          </cell>
        </row>
        <row r="1141">
          <cell r="Z1141" t="b">
            <v>0</v>
          </cell>
          <cell r="AA1141" t="b">
            <v>0</v>
          </cell>
        </row>
        <row r="1142">
          <cell r="Z1142" t="b">
            <v>0</v>
          </cell>
          <cell r="AA1142" t="b">
            <v>0</v>
          </cell>
        </row>
        <row r="1143">
          <cell r="Z1143" t="b">
            <v>0</v>
          </cell>
          <cell r="AA1143" t="b">
            <v>0</v>
          </cell>
        </row>
        <row r="1144">
          <cell r="Z1144" t="b">
            <v>0</v>
          </cell>
          <cell r="AA1144" t="b">
            <v>0</v>
          </cell>
        </row>
        <row r="1145">
          <cell r="Z1145" t="b">
            <v>0</v>
          </cell>
          <cell r="AA1145" t="b">
            <v>0</v>
          </cell>
        </row>
        <row r="1146">
          <cell r="Z1146" t="b">
            <v>0</v>
          </cell>
          <cell r="AA1146" t="b">
            <v>0</v>
          </cell>
        </row>
        <row r="1147">
          <cell r="Z1147" t="b">
            <v>0</v>
          </cell>
          <cell r="AA1147" t="b">
            <v>0</v>
          </cell>
        </row>
        <row r="1148">
          <cell r="Z1148" t="b">
            <v>0</v>
          </cell>
          <cell r="AA1148" t="b">
            <v>0</v>
          </cell>
        </row>
        <row r="1149">
          <cell r="Z1149" t="b">
            <v>0</v>
          </cell>
          <cell r="AA1149" t="b">
            <v>0</v>
          </cell>
        </row>
        <row r="1150">
          <cell r="Z1150" t="b">
            <v>0</v>
          </cell>
          <cell r="AA1150" t="b">
            <v>0</v>
          </cell>
        </row>
        <row r="1151">
          <cell r="Z1151" t="b">
            <v>0</v>
          </cell>
          <cell r="AA1151" t="b">
            <v>0</v>
          </cell>
        </row>
        <row r="1152">
          <cell r="Z1152" t="b">
            <v>0</v>
          </cell>
          <cell r="AA1152" t="b">
            <v>0</v>
          </cell>
        </row>
        <row r="1153">
          <cell r="Z1153" t="b">
            <v>0</v>
          </cell>
          <cell r="AA1153" t="b">
            <v>0</v>
          </cell>
        </row>
        <row r="1154">
          <cell r="Z1154" t="b">
            <v>0</v>
          </cell>
          <cell r="AA1154" t="b">
            <v>0</v>
          </cell>
        </row>
        <row r="1155">
          <cell r="Z1155" t="b">
            <v>0</v>
          </cell>
          <cell r="AA1155" t="b">
            <v>0</v>
          </cell>
        </row>
        <row r="1156">
          <cell r="Z1156" t="b">
            <v>0</v>
          </cell>
          <cell r="AA1156" t="b">
            <v>0</v>
          </cell>
        </row>
        <row r="1157">
          <cell r="Z1157" t="b">
            <v>0</v>
          </cell>
          <cell r="AA1157" t="b">
            <v>0</v>
          </cell>
        </row>
        <row r="1158">
          <cell r="Z1158" t="b">
            <v>0</v>
          </cell>
          <cell r="AA1158" t="b">
            <v>0</v>
          </cell>
        </row>
        <row r="1159">
          <cell r="Z1159" t="b">
            <v>0</v>
          </cell>
          <cell r="AA1159" t="b">
            <v>0</v>
          </cell>
        </row>
        <row r="1160">
          <cell r="Z1160" t="b">
            <v>0</v>
          </cell>
          <cell r="AA1160" t="b">
            <v>0</v>
          </cell>
        </row>
        <row r="1161">
          <cell r="Z1161" t="b">
            <v>0</v>
          </cell>
          <cell r="AA1161" t="b">
            <v>0</v>
          </cell>
        </row>
        <row r="1162">
          <cell r="Z1162" t="b">
            <v>0</v>
          </cell>
          <cell r="AA1162" t="b">
            <v>0</v>
          </cell>
        </row>
        <row r="1163">
          <cell r="Z1163" t="b">
            <v>0</v>
          </cell>
          <cell r="AA1163" t="b">
            <v>0</v>
          </cell>
        </row>
        <row r="1164">
          <cell r="Z1164" t="b">
            <v>0</v>
          </cell>
          <cell r="AA1164" t="b">
            <v>0</v>
          </cell>
        </row>
        <row r="1165">
          <cell r="Z1165" t="b">
            <v>0</v>
          </cell>
          <cell r="AA1165" t="b">
            <v>0</v>
          </cell>
        </row>
        <row r="1166">
          <cell r="Z1166" t="b">
            <v>0</v>
          </cell>
          <cell r="AA1166" t="b">
            <v>0</v>
          </cell>
        </row>
        <row r="1167">
          <cell r="Z1167" t="b">
            <v>0</v>
          </cell>
          <cell r="AA1167" t="b">
            <v>0</v>
          </cell>
        </row>
        <row r="1168">
          <cell r="Z1168" t="b">
            <v>0</v>
          </cell>
          <cell r="AA1168" t="b">
            <v>0</v>
          </cell>
        </row>
        <row r="1169">
          <cell r="Z1169" t="b">
            <v>0</v>
          </cell>
          <cell r="AA1169" t="b">
            <v>0</v>
          </cell>
        </row>
        <row r="1170">
          <cell r="Z1170" t="b">
            <v>0</v>
          </cell>
          <cell r="AA1170" t="b">
            <v>0</v>
          </cell>
        </row>
        <row r="1171">
          <cell r="Z1171" t="b">
            <v>0</v>
          </cell>
          <cell r="AA1171" t="b">
            <v>0</v>
          </cell>
        </row>
        <row r="1172">
          <cell r="Z1172" t="b">
            <v>0</v>
          </cell>
          <cell r="AA1172" t="b">
            <v>0</v>
          </cell>
        </row>
        <row r="1173">
          <cell r="Z1173" t="b">
            <v>0</v>
          </cell>
          <cell r="AA1173" t="b">
            <v>0</v>
          </cell>
        </row>
        <row r="1174">
          <cell r="Z1174" t="b">
            <v>0</v>
          </cell>
          <cell r="AA1174" t="b">
            <v>0</v>
          </cell>
        </row>
        <row r="1175">
          <cell r="Z1175" t="b">
            <v>0</v>
          </cell>
          <cell r="AA1175" t="b">
            <v>0</v>
          </cell>
        </row>
        <row r="1176">
          <cell r="Z1176" t="b">
            <v>0</v>
          </cell>
          <cell r="AA1176" t="b">
            <v>0</v>
          </cell>
        </row>
        <row r="1177">
          <cell r="Z1177" t="b">
            <v>0</v>
          </cell>
          <cell r="AA1177" t="b">
            <v>0</v>
          </cell>
        </row>
        <row r="1178">
          <cell r="Z1178" t="b">
            <v>0</v>
          </cell>
          <cell r="AA1178" t="b">
            <v>0</v>
          </cell>
        </row>
        <row r="1179">
          <cell r="Z1179" t="b">
            <v>0</v>
          </cell>
          <cell r="AA1179" t="b">
            <v>0</v>
          </cell>
        </row>
        <row r="1180">
          <cell r="Z1180" t="b">
            <v>0</v>
          </cell>
          <cell r="AA1180" t="b">
            <v>0</v>
          </cell>
        </row>
        <row r="1181">
          <cell r="Z1181" t="b">
            <v>0</v>
          </cell>
          <cell r="AA1181" t="b">
            <v>0</v>
          </cell>
        </row>
        <row r="1182">
          <cell r="Z1182" t="b">
            <v>0</v>
          </cell>
          <cell r="AA1182" t="b">
            <v>0</v>
          </cell>
        </row>
        <row r="1183">
          <cell r="Z1183" t="b">
            <v>0</v>
          </cell>
          <cell r="AA1183" t="b">
            <v>0</v>
          </cell>
        </row>
        <row r="1184">
          <cell r="Z1184" t="b">
            <v>0</v>
          </cell>
          <cell r="AA1184" t="b">
            <v>0</v>
          </cell>
        </row>
        <row r="1185">
          <cell r="Z1185" t="b">
            <v>0</v>
          </cell>
          <cell r="AA1185" t="b">
            <v>0</v>
          </cell>
        </row>
        <row r="1186">
          <cell r="Z1186" t="b">
            <v>0</v>
          </cell>
          <cell r="AA1186" t="b">
            <v>0</v>
          </cell>
        </row>
        <row r="1187">
          <cell r="Z1187" t="b">
            <v>0</v>
          </cell>
          <cell r="AA1187" t="b">
            <v>0</v>
          </cell>
        </row>
        <row r="1188">
          <cell r="Z1188" t="b">
            <v>0</v>
          </cell>
          <cell r="AA1188" t="b">
            <v>0</v>
          </cell>
        </row>
        <row r="1189">
          <cell r="Z1189" t="b">
            <v>0</v>
          </cell>
          <cell r="AA1189" t="b">
            <v>0</v>
          </cell>
        </row>
        <row r="1190">
          <cell r="Z1190" t="b">
            <v>0</v>
          </cell>
          <cell r="AA1190" t="b">
            <v>0</v>
          </cell>
        </row>
        <row r="1191">
          <cell r="Z1191" t="b">
            <v>0</v>
          </cell>
          <cell r="AA1191" t="b">
            <v>0</v>
          </cell>
        </row>
        <row r="1192">
          <cell r="Z1192" t="b">
            <v>0</v>
          </cell>
          <cell r="AA1192" t="b">
            <v>0</v>
          </cell>
        </row>
        <row r="1193">
          <cell r="Z1193" t="b">
            <v>0</v>
          </cell>
          <cell r="AA1193" t="b">
            <v>0</v>
          </cell>
        </row>
        <row r="1194">
          <cell r="Z1194" t="b">
            <v>0</v>
          </cell>
          <cell r="AA1194" t="b">
            <v>0</v>
          </cell>
        </row>
        <row r="1195">
          <cell r="Z1195" t="b">
            <v>0</v>
          </cell>
          <cell r="AA1195" t="b">
            <v>0</v>
          </cell>
        </row>
        <row r="1196">
          <cell r="Z1196" t="b">
            <v>0</v>
          </cell>
          <cell r="AA1196" t="b">
            <v>0</v>
          </cell>
        </row>
        <row r="1197">
          <cell r="Z1197" t="b">
            <v>0</v>
          </cell>
          <cell r="AA1197" t="b">
            <v>0</v>
          </cell>
        </row>
        <row r="1198">
          <cell r="Z1198" t="b">
            <v>0</v>
          </cell>
          <cell r="AA1198" t="b">
            <v>0</v>
          </cell>
        </row>
        <row r="1199">
          <cell r="Z1199" t="b">
            <v>0</v>
          </cell>
          <cell r="AA1199" t="b">
            <v>0</v>
          </cell>
        </row>
        <row r="1200">
          <cell r="Z1200" t="b">
            <v>0</v>
          </cell>
          <cell r="AA1200" t="b">
            <v>0</v>
          </cell>
        </row>
        <row r="1201">
          <cell r="Z1201" t="b">
            <v>0</v>
          </cell>
          <cell r="AA1201" t="b">
            <v>0</v>
          </cell>
        </row>
        <row r="1202">
          <cell r="Z1202" t="b">
            <v>0</v>
          </cell>
          <cell r="AA1202" t="b">
            <v>0</v>
          </cell>
        </row>
        <row r="1203">
          <cell r="Z1203" t="b">
            <v>0</v>
          </cell>
          <cell r="AA1203" t="b">
            <v>0</v>
          </cell>
        </row>
        <row r="1204">
          <cell r="Z1204" t="b">
            <v>0</v>
          </cell>
          <cell r="AA1204" t="b">
            <v>0</v>
          </cell>
        </row>
        <row r="1205">
          <cell r="Z1205" t="b">
            <v>0</v>
          </cell>
          <cell r="AA1205" t="b">
            <v>0</v>
          </cell>
        </row>
        <row r="1206">
          <cell r="Z1206" t="b">
            <v>0</v>
          </cell>
          <cell r="AA1206" t="b">
            <v>0</v>
          </cell>
        </row>
        <row r="1207">
          <cell r="Z1207" t="b">
            <v>0</v>
          </cell>
          <cell r="AA1207" t="b">
            <v>0</v>
          </cell>
        </row>
        <row r="1208">
          <cell r="Z1208" t="b">
            <v>0</v>
          </cell>
          <cell r="AA1208" t="b">
            <v>0</v>
          </cell>
        </row>
        <row r="1209">
          <cell r="Z1209" t="b">
            <v>0</v>
          </cell>
          <cell r="AA1209" t="b">
            <v>0</v>
          </cell>
        </row>
        <row r="1210">
          <cell r="Z1210" t="b">
            <v>0</v>
          </cell>
          <cell r="AA1210" t="b">
            <v>0</v>
          </cell>
        </row>
        <row r="1211">
          <cell r="Z1211" t="b">
            <v>0</v>
          </cell>
          <cell r="AA1211" t="b">
            <v>0</v>
          </cell>
        </row>
        <row r="1212">
          <cell r="Z1212" t="b">
            <v>0</v>
          </cell>
          <cell r="AA1212" t="b">
            <v>0</v>
          </cell>
        </row>
        <row r="1213">
          <cell r="Z1213" t="b">
            <v>0</v>
          </cell>
          <cell r="AA1213" t="b">
            <v>0</v>
          </cell>
        </row>
        <row r="1214">
          <cell r="Z1214" t="b">
            <v>0</v>
          </cell>
          <cell r="AA1214" t="b">
            <v>0</v>
          </cell>
        </row>
        <row r="1215">
          <cell r="Z1215" t="b">
            <v>0</v>
          </cell>
          <cell r="AA1215" t="b">
            <v>0</v>
          </cell>
        </row>
        <row r="1216">
          <cell r="Z1216" t="b">
            <v>0</v>
          </cell>
          <cell r="AA1216" t="b">
            <v>0</v>
          </cell>
        </row>
        <row r="1217">
          <cell r="Z1217" t="b">
            <v>0</v>
          </cell>
          <cell r="AA1217" t="b">
            <v>0</v>
          </cell>
        </row>
        <row r="1218">
          <cell r="Z1218" t="b">
            <v>0</v>
          </cell>
          <cell r="AA1218" t="b">
            <v>0</v>
          </cell>
        </row>
        <row r="1219">
          <cell r="Z1219" t="b">
            <v>0</v>
          </cell>
          <cell r="AA1219" t="b">
            <v>0</v>
          </cell>
        </row>
        <row r="1220">
          <cell r="Z1220" t="b">
            <v>0</v>
          </cell>
          <cell r="AA1220" t="b">
            <v>0</v>
          </cell>
        </row>
        <row r="1221">
          <cell r="Z1221" t="b">
            <v>0</v>
          </cell>
          <cell r="AA1221" t="b">
            <v>0</v>
          </cell>
        </row>
        <row r="1222">
          <cell r="Z1222" t="b">
            <v>0</v>
          </cell>
          <cell r="AA1222" t="b">
            <v>0</v>
          </cell>
        </row>
        <row r="1223">
          <cell r="Z1223" t="b">
            <v>0</v>
          </cell>
          <cell r="AA1223" t="b">
            <v>0</v>
          </cell>
        </row>
        <row r="1224">
          <cell r="Z1224" t="b">
            <v>0</v>
          </cell>
          <cell r="AA1224" t="b">
            <v>0</v>
          </cell>
        </row>
        <row r="1225">
          <cell r="Z1225" t="b">
            <v>0</v>
          </cell>
          <cell r="AA1225" t="b">
            <v>0</v>
          </cell>
        </row>
        <row r="1226">
          <cell r="Z1226" t="b">
            <v>0</v>
          </cell>
          <cell r="AA1226" t="b">
            <v>0</v>
          </cell>
        </row>
        <row r="1227">
          <cell r="Z1227" t="b">
            <v>0</v>
          </cell>
          <cell r="AA1227" t="b">
            <v>0</v>
          </cell>
        </row>
        <row r="1228">
          <cell r="Z1228" t="b">
            <v>0</v>
          </cell>
          <cell r="AA1228" t="b">
            <v>0</v>
          </cell>
        </row>
        <row r="1229">
          <cell r="Z1229" t="b">
            <v>0</v>
          </cell>
          <cell r="AA1229" t="b">
            <v>0</v>
          </cell>
        </row>
        <row r="1230">
          <cell r="Z1230" t="b">
            <v>0</v>
          </cell>
          <cell r="AA1230" t="b">
            <v>0</v>
          </cell>
        </row>
        <row r="1231">
          <cell r="Z1231" t="b">
            <v>0</v>
          </cell>
          <cell r="AA1231" t="b">
            <v>0</v>
          </cell>
        </row>
      </sheetData>
      <sheetData sheetId="26" refreshError="1">
        <row r="1">
          <cell r="N1" t="str">
            <v>SmartCharts</v>
          </cell>
          <cell r="AW1" t="str">
            <v>.</v>
          </cell>
        </row>
        <row r="2">
          <cell r="AW2" t="str">
            <v>.</v>
          </cell>
        </row>
        <row r="3">
          <cell r="AW3" t="str">
            <v>.</v>
          </cell>
        </row>
        <row r="4">
          <cell r="AW4" t="str">
            <v>.</v>
          </cell>
        </row>
        <row r="5">
          <cell r="C5" t="str">
            <v>Define value axis here:</v>
          </cell>
        </row>
        <row r="6">
          <cell r="C6" t="str">
            <v>Two Year Stacked Organic Sales Growth</v>
          </cell>
        </row>
        <row r="10">
          <cell r="C10" t="str">
            <v>Input your data here:</v>
          </cell>
          <cell r="AW10" t="str">
            <v>.</v>
          </cell>
        </row>
        <row r="11">
          <cell r="C11" t="str">
            <v>Q106</v>
          </cell>
          <cell r="D11">
            <v>2.35E-2</v>
          </cell>
        </row>
        <row r="12">
          <cell r="C12" t="str">
            <v>Q206</v>
          </cell>
          <cell r="D12">
            <v>-2.5000000000000005E-3</v>
          </cell>
          <cell r="AW12" t="str">
            <v>.</v>
          </cell>
        </row>
        <row r="13">
          <cell r="C13" t="str">
            <v>Q306</v>
          </cell>
          <cell r="D13">
            <v>2.5000000000000001E-2</v>
          </cell>
          <cell r="AW13" t="str">
            <v>.</v>
          </cell>
        </row>
        <row r="14">
          <cell r="C14" t="str">
            <v>Q406</v>
          </cell>
          <cell r="D14">
            <v>-1.4999999999999999E-2</v>
          </cell>
          <cell r="AW14" t="str">
            <v>.</v>
          </cell>
        </row>
        <row r="15">
          <cell r="C15" t="str">
            <v>Q107</v>
          </cell>
          <cell r="D15">
            <v>1.8500000000000003E-2</v>
          </cell>
          <cell r="AW15" t="str">
            <v>.</v>
          </cell>
        </row>
        <row r="16">
          <cell r="C16" t="str">
            <v>Q207</v>
          </cell>
          <cell r="D16">
            <v>0.03</v>
          </cell>
          <cell r="AW16" t="str">
            <v>.</v>
          </cell>
        </row>
        <row r="17">
          <cell r="C17" t="str">
            <v>Q307</v>
          </cell>
          <cell r="D17">
            <v>6.0000000000000005E-2</v>
          </cell>
          <cell r="AW17" t="str">
            <v>.</v>
          </cell>
        </row>
        <row r="18">
          <cell r="C18" t="str">
            <v>Q407</v>
          </cell>
          <cell r="D18">
            <v>7.0000000000000007E-2</v>
          </cell>
          <cell r="AW18" t="str">
            <v>.</v>
          </cell>
        </row>
        <row r="19">
          <cell r="C19" t="str">
            <v>Q108</v>
          </cell>
          <cell r="D19">
            <v>7.5000000000000011E-2</v>
          </cell>
          <cell r="AW19" t="str">
            <v>.</v>
          </cell>
        </row>
        <row r="20">
          <cell r="C20" t="str">
            <v>Q208</v>
          </cell>
          <cell r="D20">
            <v>0.09</v>
          </cell>
          <cell r="AW20" t="str">
            <v>.</v>
          </cell>
        </row>
        <row r="21">
          <cell r="C21" t="str">
            <v>Q308</v>
          </cell>
          <cell r="D21">
            <v>0.09</v>
          </cell>
          <cell r="AW21" t="str">
            <v>.</v>
          </cell>
        </row>
        <row r="22">
          <cell r="C22" t="str">
            <v>Q408</v>
          </cell>
          <cell r="D22">
            <v>7.0000000000000007E-2</v>
          </cell>
          <cell r="AW22" t="str">
            <v>.</v>
          </cell>
        </row>
        <row r="23">
          <cell r="C23" t="str">
            <v>Q109</v>
          </cell>
          <cell r="D23">
            <v>5.5E-2</v>
          </cell>
          <cell r="AW23" t="str">
            <v>.</v>
          </cell>
        </row>
        <row r="24">
          <cell r="C24" t="str">
            <v>Q209</v>
          </cell>
          <cell r="D24">
            <v>7.0000000000000007E-2</v>
          </cell>
          <cell r="AW24" t="str">
            <v>.</v>
          </cell>
        </row>
        <row r="25">
          <cell r="C25" t="str">
            <v>Q309</v>
          </cell>
          <cell r="D25">
            <v>8.4999999999999992E-2</v>
          </cell>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27" refreshError="1">
        <row r="1">
          <cell r="N1" t="str">
            <v>SmartCharts</v>
          </cell>
          <cell r="AW1" t="str">
            <v>.</v>
          </cell>
        </row>
        <row r="2">
          <cell r="AW2" t="str">
            <v>.</v>
          </cell>
        </row>
        <row r="3">
          <cell r="AW3" t="str">
            <v>.</v>
          </cell>
        </row>
        <row r="4">
          <cell r="AW4" t="str">
            <v>.</v>
          </cell>
        </row>
        <row r="5">
          <cell r="C5" t="str">
            <v>Define value axis here:</v>
          </cell>
        </row>
        <row r="6">
          <cell r="C6" t="str">
            <v>Consensus vs Historical Growth</v>
          </cell>
        </row>
        <row r="10">
          <cell r="C10" t="str">
            <v>Input your data here:</v>
          </cell>
          <cell r="AW10" t="str">
            <v>.</v>
          </cell>
        </row>
        <row r="11">
          <cell r="C11" t="str">
            <v>Organic Sales Growth</v>
          </cell>
          <cell r="D11">
            <v>0.04</v>
          </cell>
          <cell r="AW11" t="str">
            <v>.</v>
          </cell>
        </row>
        <row r="12">
          <cell r="C12" t="str">
            <v>Organic Profit Growth</v>
          </cell>
          <cell r="D12">
            <v>0.06</v>
          </cell>
          <cell r="AW12" t="str">
            <v>.</v>
          </cell>
        </row>
        <row r="13">
          <cell r="C13" t="str">
            <v>Organic Sales Growth</v>
          </cell>
          <cell r="D13">
            <v>7.5625000000000012E-2</v>
          </cell>
          <cell r="AW13" t="str">
            <v>.</v>
          </cell>
        </row>
        <row r="14">
          <cell r="C14" t="str">
            <v>Organic Profit Growth</v>
          </cell>
          <cell r="D14">
            <v>0.25897239856233301</v>
          </cell>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F42" t="str">
            <v>Do not change the width of the exhibit or font sizes (they are optimized for export to Word).</v>
          </cell>
          <cell r="AW42" t="str">
            <v>.</v>
          </cell>
        </row>
        <row r="43">
          <cell r="AW43" t="str">
            <v>.</v>
          </cell>
        </row>
        <row r="44">
          <cell r="F44" t="str">
            <v>Do not delete any rows or columns (some gray cells are used for calculations).</v>
          </cell>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28"/>
      <sheetData sheetId="29" refreshError="1">
        <row r="1">
          <cell r="N1" t="str">
            <v>SmartCharts</v>
          </cell>
          <cell r="AW1" t="str">
            <v>.</v>
          </cell>
        </row>
        <row r="2">
          <cell r="AW2" t="str">
            <v>.</v>
          </cell>
        </row>
        <row r="3">
          <cell r="AW3" t="str">
            <v>.</v>
          </cell>
        </row>
        <row r="4">
          <cell r="AW4" t="str">
            <v>.</v>
          </cell>
        </row>
        <row r="5">
          <cell r="C5" t="str">
            <v>Define value axis here:</v>
          </cell>
        </row>
        <row r="6">
          <cell r="C6" t="str">
            <v>LTM vs. NTM y-o-y Organic Sales Growth Comparisons</v>
          </cell>
        </row>
        <row r="10">
          <cell r="C10" t="str">
            <v>Input your data here:</v>
          </cell>
          <cell r="AW10" t="str">
            <v>.</v>
          </cell>
        </row>
        <row r="11">
          <cell r="C11" t="str">
            <v>LTM y-o-y Comparisons</v>
          </cell>
          <cell r="D11">
            <v>0.10270000000000001</v>
          </cell>
        </row>
        <row r="12">
          <cell r="C12" t="str">
            <v>NTM y-o-y Comparisons</v>
          </cell>
          <cell r="D12">
            <v>4.0500000000000001E-2</v>
          </cell>
          <cell r="AW12" t="str">
            <v>.</v>
          </cell>
        </row>
        <row r="13">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0" refreshError="1">
        <row r="1">
          <cell r="N1" t="str">
            <v>SmartCharts</v>
          </cell>
          <cell r="AW1" t="str">
            <v>.</v>
          </cell>
        </row>
        <row r="2">
          <cell r="AW2" t="str">
            <v>.</v>
          </cell>
        </row>
        <row r="3">
          <cell r="AW3" t="str">
            <v>.</v>
          </cell>
        </row>
        <row r="4">
          <cell r="AW4" t="str">
            <v>.</v>
          </cell>
        </row>
        <row r="5">
          <cell r="C5" t="str">
            <v>Define value axis here:</v>
          </cell>
        </row>
        <row r="6">
          <cell r="C6" t="str">
            <v>Tupperware Trailing Three Quarters Two Year Avg. Organic Growth vs. MS Five Year CAGr</v>
          </cell>
        </row>
        <row r="10">
          <cell r="C10" t="str">
            <v>Input your data here:</v>
          </cell>
          <cell r="AW10" t="str">
            <v>.</v>
          </cell>
        </row>
        <row r="11">
          <cell r="C11" t="str">
            <v>TUP Trailing Three Quarters Avg.</v>
          </cell>
          <cell r="D11">
            <v>6.4000000000000001E-2</v>
          </cell>
        </row>
        <row r="12">
          <cell r="C12" t="str">
            <v>MS Five Year Forecast</v>
          </cell>
          <cell r="D12">
            <v>6.1051040532418922E-2</v>
          </cell>
          <cell r="AW12" t="str">
            <v>.</v>
          </cell>
        </row>
        <row r="13">
          <cell r="AW13" t="str">
            <v>.</v>
          </cell>
        </row>
        <row r="14">
          <cell r="AW14" t="str">
            <v>.</v>
          </cell>
        </row>
        <row r="15">
          <cell r="AW15" t="str">
            <v>.</v>
          </cell>
        </row>
        <row r="16">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1" refreshError="1">
        <row r="1">
          <cell r="P1" t="str">
            <v>SmartCharts</v>
          </cell>
          <cell r="BA1" t="str">
            <v>.</v>
          </cell>
        </row>
        <row r="2">
          <cell r="BA2" t="str">
            <v>.</v>
          </cell>
        </row>
        <row r="3">
          <cell r="BA3" t="str">
            <v>.</v>
          </cell>
        </row>
        <row r="4">
          <cell r="BA4" t="str">
            <v>.</v>
          </cell>
        </row>
        <row r="5">
          <cell r="C5" t="str">
            <v>Define value axis here:</v>
          </cell>
        </row>
        <row r="6">
          <cell r="C6" t="str">
            <v>Organic Currency Neutral Sales Growth</v>
          </cell>
        </row>
        <row r="10">
          <cell r="C10" t="str">
            <v>Input your data here:</v>
          </cell>
          <cell r="BA10" t="str">
            <v>.</v>
          </cell>
        </row>
        <row r="11">
          <cell r="D11" t="str">
            <v>AVP</v>
          </cell>
          <cell r="E11" t="str">
            <v>TUP</v>
          </cell>
          <cell r="BA11" t="str">
            <v>.</v>
          </cell>
        </row>
        <row r="12">
          <cell r="C12">
            <v>2004</v>
          </cell>
          <cell r="D12">
            <v>0.1</v>
          </cell>
          <cell r="E12">
            <v>-0.02</v>
          </cell>
        </row>
        <row r="13">
          <cell r="C13">
            <v>2005</v>
          </cell>
          <cell r="D13">
            <v>2.1999999999999999E-2</v>
          </cell>
          <cell r="E13">
            <v>0.04</v>
          </cell>
        </row>
        <row r="14">
          <cell r="C14">
            <v>2006</v>
          </cell>
          <cell r="D14">
            <v>5.5E-2</v>
          </cell>
          <cell r="E14">
            <v>4.2499999999999994E-3</v>
          </cell>
          <cell r="BA14" t="str">
            <v>.</v>
          </cell>
        </row>
        <row r="15">
          <cell r="C15">
            <v>2007</v>
          </cell>
          <cell r="D15">
            <v>7.9000000000000001E-2</v>
          </cell>
          <cell r="E15">
            <v>0.09</v>
          </cell>
          <cell r="BA15" t="str">
            <v>.</v>
          </cell>
        </row>
        <row r="16">
          <cell r="C16">
            <v>2008</v>
          </cell>
          <cell r="D16">
            <v>4.4999999999999998E-2</v>
          </cell>
          <cell r="E16">
            <v>0.08</v>
          </cell>
          <cell r="BA16" t="str">
            <v>.</v>
          </cell>
        </row>
        <row r="17">
          <cell r="C17" t="str">
            <v>H109</v>
          </cell>
          <cell r="D17">
            <v>5.000000000000001E-2</v>
          </cell>
          <cell r="E17">
            <v>0.06</v>
          </cell>
          <cell r="BA17" t="str">
            <v>.</v>
          </cell>
        </row>
        <row r="18">
          <cell r="C18" t="str">
            <v xml:space="preserve">More than six categories will make this chart </v>
          </cell>
          <cell r="BA18" t="str">
            <v>.</v>
          </cell>
        </row>
        <row r="19">
          <cell r="C19" t="str">
            <v>cluttered and too difficult to read.</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I42" t="str">
            <v>Do not change the width of the exhibit or font sizes (they are optimized for export to Word).</v>
          </cell>
          <cell r="BA42" t="str">
            <v>.</v>
          </cell>
        </row>
        <row r="43">
          <cell r="BA43" t="str">
            <v>.</v>
          </cell>
        </row>
        <row r="44">
          <cell r="I44" t="str">
            <v>Do not delete any rows or columns (some gray cells are used for calculations).</v>
          </cell>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BA996" t="str">
            <v>.</v>
          </cell>
        </row>
        <row r="997">
          <cell r="BA997" t="str">
            <v>.</v>
          </cell>
        </row>
        <row r="998">
          <cell r="A998" t="str">
            <v>.</v>
          </cell>
          <cell r="B998" t="str">
            <v>.</v>
          </cell>
          <cell r="C998" t="str">
            <v>.</v>
          </cell>
          <cell r="D998" t="str">
            <v>.</v>
          </cell>
          <cell r="E998" t="str">
            <v>.</v>
          </cell>
          <cell r="G998" t="str">
            <v>.</v>
          </cell>
          <cell r="H998" t="str">
            <v>.</v>
          </cell>
          <cell r="I998" t="str">
            <v>.</v>
          </cell>
          <cell r="S998" t="str">
            <v>.</v>
          </cell>
          <cell r="T998" t="str">
            <v>.</v>
          </cell>
          <cell r="U998" t="str">
            <v>.</v>
          </cell>
          <cell r="V998" t="str">
            <v>.</v>
          </cell>
          <cell r="W998" t="str">
            <v>.</v>
          </cell>
          <cell r="X998" t="str">
            <v>.</v>
          </cell>
          <cell r="Y998" t="str">
            <v>.</v>
          </cell>
          <cell r="Z998" t="str">
            <v>.</v>
          </cell>
          <cell r="AA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row>
      </sheetData>
      <sheetData sheetId="32" refreshError="1">
        <row r="1">
          <cell r="N1" t="str">
            <v>SmartCharts</v>
          </cell>
          <cell r="AW1" t="str">
            <v>.</v>
          </cell>
        </row>
        <row r="2">
          <cell r="AW2" t="str">
            <v>.</v>
          </cell>
        </row>
        <row r="3">
          <cell r="AW3" t="str">
            <v>.</v>
          </cell>
        </row>
        <row r="4">
          <cell r="AW4" t="str">
            <v>.</v>
          </cell>
        </row>
        <row r="5">
          <cell r="C5" t="str">
            <v>Define value axis here:</v>
          </cell>
        </row>
        <row r="6">
          <cell r="C6" t="str">
            <v>SMID Cap Household Products Net Debt/EBITDA, CY09E</v>
          </cell>
        </row>
        <row r="10">
          <cell r="C10" t="str">
            <v>Input your data here:</v>
          </cell>
          <cell r="AW10" t="str">
            <v>.</v>
          </cell>
        </row>
        <row r="11">
          <cell r="C11" t="str">
            <v>WTW</v>
          </cell>
          <cell r="D11">
            <v>1.9557211563284245</v>
          </cell>
        </row>
        <row r="12">
          <cell r="C12" t="str">
            <v>ENR</v>
          </cell>
          <cell r="D12">
            <v>0</v>
          </cell>
          <cell r="AW12" t="str">
            <v>.</v>
          </cell>
        </row>
        <row r="13">
          <cell r="C13" t="str">
            <v>NWL</v>
          </cell>
          <cell r="D13">
            <v>0</v>
          </cell>
          <cell r="AW13" t="str">
            <v>.</v>
          </cell>
        </row>
        <row r="14">
          <cell r="C14" t="str">
            <v>CHTT</v>
          </cell>
          <cell r="D14">
            <v>0.95127377885057884</v>
          </cell>
          <cell r="AW14" t="str">
            <v>.</v>
          </cell>
        </row>
        <row r="15">
          <cell r="C15" t="str">
            <v>TUP</v>
          </cell>
          <cell r="D15">
            <v>-0.74238105815828737</v>
          </cell>
          <cell r="AW15" t="str">
            <v>.</v>
          </cell>
        </row>
        <row r="16">
          <cell r="C16" t="str">
            <v>CHD</v>
          </cell>
          <cell r="D16">
            <v>1.3799755700544964</v>
          </cell>
          <cell r="AW16" t="str">
            <v>.</v>
          </cell>
        </row>
        <row r="17">
          <cell r="C17" t="str">
            <v>ACV</v>
          </cell>
          <cell r="D17">
            <v>2.1162753125123137</v>
          </cell>
          <cell r="AW17" t="str">
            <v>.</v>
          </cell>
        </row>
        <row r="18">
          <cell r="AW18" t="str">
            <v>.</v>
          </cell>
        </row>
        <row r="19">
          <cell r="D19">
            <v>1.1656246744525376</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3" refreshError="1">
        <row r="1">
          <cell r="Q1" t="str">
            <v>SmartCharts</v>
          </cell>
        </row>
        <row r="4">
          <cell r="A4">
            <v>0</v>
          </cell>
        </row>
        <row r="5">
          <cell r="A5">
            <v>0</v>
          </cell>
          <cell r="C5" t="str">
            <v>Define value axis here:</v>
          </cell>
        </row>
        <row r="6">
          <cell r="A6">
            <v>0</v>
          </cell>
          <cell r="C6" t="str">
            <v>Tupperware Two-Year Average Organic Sales Growth</v>
          </cell>
        </row>
        <row r="7">
          <cell r="A7">
            <v>0</v>
          </cell>
        </row>
        <row r="8">
          <cell r="A8">
            <v>0</v>
          </cell>
        </row>
        <row r="9">
          <cell r="A9">
            <v>0</v>
          </cell>
          <cell r="C9" t="str">
            <v>Input your data here:</v>
          </cell>
        </row>
        <row r="10">
          <cell r="A10">
            <v>0</v>
          </cell>
        </row>
        <row r="11">
          <cell r="A11">
            <v>0</v>
          </cell>
          <cell r="D11" t="str">
            <v>Series 1</v>
          </cell>
          <cell r="AA11" t="str">
            <v>Series 1</v>
          </cell>
        </row>
        <row r="12">
          <cell r="A12">
            <v>0</v>
          </cell>
          <cell r="C12" t="str">
            <v>Q106</v>
          </cell>
          <cell r="D12">
            <v>2.35E-2</v>
          </cell>
          <cell r="Z12" t="str">
            <v>Q106</v>
          </cell>
          <cell r="AA12">
            <v>2.35E-2</v>
          </cell>
        </row>
        <row r="13">
          <cell r="A13">
            <v>0</v>
          </cell>
          <cell r="C13" t="str">
            <v>Q206</v>
          </cell>
          <cell r="D13">
            <v>-2.5000000000000005E-3</v>
          </cell>
          <cell r="Z13" t="str">
            <v>Q206</v>
          </cell>
          <cell r="AA13">
            <v>-2.5000000000000005E-3</v>
          </cell>
        </row>
        <row r="14">
          <cell r="A14">
            <v>0</v>
          </cell>
          <cell r="C14" t="str">
            <v>Q306</v>
          </cell>
          <cell r="D14">
            <v>2.5000000000000001E-2</v>
          </cell>
          <cell r="Z14" t="str">
            <v>Q306</v>
          </cell>
          <cell r="AA14">
            <v>2.5000000000000001E-2</v>
          </cell>
        </row>
        <row r="15">
          <cell r="A15">
            <v>0</v>
          </cell>
          <cell r="C15" t="str">
            <v>Q406</v>
          </cell>
          <cell r="D15">
            <v>-1.4999999999999999E-2</v>
          </cell>
          <cell r="Z15" t="str">
            <v>Q406</v>
          </cell>
          <cell r="AA15">
            <v>-1.4999999999999999E-2</v>
          </cell>
        </row>
        <row r="16">
          <cell r="C16" t="str">
            <v>Q107</v>
          </cell>
          <cell r="D16">
            <v>1.8500000000000003E-2</v>
          </cell>
          <cell r="Z16" t="str">
            <v>Q107</v>
          </cell>
          <cell r="AA16">
            <v>1.8500000000000003E-2</v>
          </cell>
        </row>
        <row r="17">
          <cell r="C17" t="str">
            <v>Q207</v>
          </cell>
          <cell r="D17">
            <v>0.03</v>
          </cell>
          <cell r="Z17" t="str">
            <v>Q207</v>
          </cell>
          <cell r="AA17">
            <v>0.03</v>
          </cell>
        </row>
        <row r="18">
          <cell r="C18" t="str">
            <v>Q307</v>
          </cell>
          <cell r="D18">
            <v>6.0000000000000005E-2</v>
          </cell>
          <cell r="Z18" t="str">
            <v>Q307</v>
          </cell>
          <cell r="AA18">
            <v>6.0000000000000005E-2</v>
          </cell>
        </row>
        <row r="19">
          <cell r="C19" t="str">
            <v>Q407</v>
          </cell>
          <cell r="D19">
            <v>7.0000000000000007E-2</v>
          </cell>
          <cell r="Z19" t="str">
            <v>Q407</v>
          </cell>
          <cell r="AA19">
            <v>7.0000000000000007E-2</v>
          </cell>
        </row>
        <row r="20">
          <cell r="C20" t="str">
            <v>Q108</v>
          </cell>
          <cell r="D20">
            <v>7.5000000000000011E-2</v>
          </cell>
          <cell r="Z20" t="str">
            <v>Q108</v>
          </cell>
          <cell r="AA20">
            <v>7.5000000000000011E-2</v>
          </cell>
        </row>
        <row r="21">
          <cell r="C21" t="str">
            <v>Q208</v>
          </cell>
          <cell r="D21">
            <v>0.09</v>
          </cell>
          <cell r="Z21" t="str">
            <v>Q208</v>
          </cell>
          <cell r="AA21">
            <v>0.09</v>
          </cell>
        </row>
        <row r="22">
          <cell r="C22" t="str">
            <v>Q308</v>
          </cell>
          <cell r="D22">
            <v>0.09</v>
          </cell>
          <cell r="Z22" t="str">
            <v>Q308</v>
          </cell>
          <cell r="AA22">
            <v>0.09</v>
          </cell>
        </row>
        <row r="23">
          <cell r="C23" t="str">
            <v>Q408</v>
          </cell>
          <cell r="D23">
            <v>7.0000000000000007E-2</v>
          </cell>
          <cell r="Z23" t="str">
            <v>Q408</v>
          </cell>
          <cell r="AA23">
            <v>7.0000000000000007E-2</v>
          </cell>
        </row>
        <row r="24">
          <cell r="C24" t="str">
            <v>Q109</v>
          </cell>
          <cell r="D24">
            <v>5.5E-2</v>
          </cell>
          <cell r="Z24" t="str">
            <v>Q109</v>
          </cell>
          <cell r="AA24">
            <v>5.5E-2</v>
          </cell>
        </row>
        <row r="25">
          <cell r="C25" t="str">
            <v>Q209</v>
          </cell>
          <cell r="D25">
            <v>7.0000000000000007E-2</v>
          </cell>
          <cell r="Z25" t="str">
            <v>Q209</v>
          </cell>
          <cell r="AA25">
            <v>7.0000000000000007E-2</v>
          </cell>
        </row>
        <row r="26">
          <cell r="C26" t="str">
            <v>Q309</v>
          </cell>
          <cell r="D26">
            <v>8.4999999999999992E-2</v>
          </cell>
          <cell r="Z26" t="str">
            <v>Q309</v>
          </cell>
          <cell r="AA26">
            <v>8.4999999999999992E-2</v>
          </cell>
        </row>
        <row r="27">
          <cell r="Z27">
            <v>0</v>
          </cell>
          <cell r="AA27" t="b">
            <v>0</v>
          </cell>
        </row>
        <row r="28">
          <cell r="Z28">
            <v>0</v>
          </cell>
          <cell r="AA28" t="b">
            <v>0</v>
          </cell>
        </row>
        <row r="29">
          <cell r="Z29">
            <v>0</v>
          </cell>
          <cell r="AA29" t="b">
            <v>0</v>
          </cell>
        </row>
        <row r="30">
          <cell r="Z30" t="b">
            <v>0</v>
          </cell>
          <cell r="AA30" t="b">
            <v>0</v>
          </cell>
        </row>
        <row r="31">
          <cell r="Z31" t="b">
            <v>0</v>
          </cell>
          <cell r="AA31" t="b">
            <v>0</v>
          </cell>
        </row>
        <row r="32">
          <cell r="Z32" t="b">
            <v>0</v>
          </cell>
          <cell r="AA32" t="b">
            <v>0</v>
          </cell>
        </row>
        <row r="33">
          <cell r="Z33" t="b">
            <v>0</v>
          </cell>
          <cell r="AA33" t="b">
            <v>0</v>
          </cell>
        </row>
        <row r="34">
          <cell r="Z34" t="b">
            <v>0</v>
          </cell>
          <cell r="AA34" t="b">
            <v>0</v>
          </cell>
        </row>
        <row r="35">
          <cell r="Z35" t="b">
            <v>0</v>
          </cell>
          <cell r="AA35" t="b">
            <v>0</v>
          </cell>
        </row>
        <row r="36">
          <cell r="Z36" t="b">
            <v>0</v>
          </cell>
          <cell r="AA36" t="b">
            <v>0</v>
          </cell>
        </row>
        <row r="37">
          <cell r="Z37" t="b">
            <v>0</v>
          </cell>
          <cell r="AA37" t="b">
            <v>0</v>
          </cell>
        </row>
        <row r="38">
          <cell r="Z38" t="b">
            <v>0</v>
          </cell>
          <cell r="AA38" t="b">
            <v>0</v>
          </cell>
        </row>
        <row r="39">
          <cell r="Z39" t="b">
            <v>0</v>
          </cell>
          <cell r="AA39" t="b">
            <v>0</v>
          </cell>
        </row>
        <row r="40">
          <cell r="I40" t="str">
            <v>Do not change the width of the exhibit or font sizes (they are optimized for export to Word).</v>
          </cell>
          <cell r="Z40" t="b">
            <v>0</v>
          </cell>
          <cell r="AA40" t="b">
            <v>0</v>
          </cell>
        </row>
        <row r="41">
          <cell r="Z41" t="b">
            <v>0</v>
          </cell>
          <cell r="AA41" t="b">
            <v>0</v>
          </cell>
        </row>
        <row r="42">
          <cell r="I42" t="str">
            <v>Do not delete any rows or columns (some gray cells are used for calculations).</v>
          </cell>
          <cell r="Z42" t="b">
            <v>0</v>
          </cell>
          <cell r="AA42" t="b">
            <v>0</v>
          </cell>
        </row>
        <row r="43">
          <cell r="K43" t="str">
            <v xml:space="preserve"> </v>
          </cell>
          <cell r="Z43" t="b">
            <v>0</v>
          </cell>
          <cell r="AA43" t="b">
            <v>0</v>
          </cell>
        </row>
        <row r="44">
          <cell r="Z44" t="b">
            <v>0</v>
          </cell>
          <cell r="AA44" t="b">
            <v>0</v>
          </cell>
        </row>
        <row r="45">
          <cell r="Z45" t="b">
            <v>0</v>
          </cell>
          <cell r="AA45" t="b">
            <v>0</v>
          </cell>
        </row>
        <row r="46">
          <cell r="Z46" t="b">
            <v>0</v>
          </cell>
          <cell r="AA46" t="b">
            <v>0</v>
          </cell>
        </row>
        <row r="47">
          <cell r="Z47" t="b">
            <v>0</v>
          </cell>
          <cell r="AA47" t="b">
            <v>0</v>
          </cell>
        </row>
        <row r="48">
          <cell r="Z48" t="b">
            <v>0</v>
          </cell>
          <cell r="AA48" t="b">
            <v>0</v>
          </cell>
        </row>
        <row r="49">
          <cell r="Z49" t="b">
            <v>0</v>
          </cell>
          <cell r="AA49" t="b">
            <v>0</v>
          </cell>
        </row>
        <row r="50">
          <cell r="Z50" t="b">
            <v>0</v>
          </cell>
          <cell r="AA50" t="b">
            <v>0</v>
          </cell>
        </row>
        <row r="51">
          <cell r="Z51" t="b">
            <v>0</v>
          </cell>
          <cell r="AA51" t="b">
            <v>0</v>
          </cell>
        </row>
        <row r="52">
          <cell r="Z52" t="b">
            <v>0</v>
          </cell>
          <cell r="AA52" t="b">
            <v>0</v>
          </cell>
        </row>
        <row r="53">
          <cell r="Z53" t="b">
            <v>0</v>
          </cell>
          <cell r="AA53" t="b">
            <v>0</v>
          </cell>
        </row>
        <row r="54">
          <cell r="Z54" t="b">
            <v>0</v>
          </cell>
          <cell r="AA54" t="b">
            <v>0</v>
          </cell>
        </row>
        <row r="55">
          <cell r="Z55" t="b">
            <v>0</v>
          </cell>
          <cell r="AA55" t="b">
            <v>0</v>
          </cell>
        </row>
        <row r="56">
          <cell r="Z56" t="b">
            <v>0</v>
          </cell>
          <cell r="AA56" t="b">
            <v>0</v>
          </cell>
        </row>
        <row r="57">
          <cell r="Z57" t="b">
            <v>0</v>
          </cell>
          <cell r="AA57" t="b">
            <v>0</v>
          </cell>
        </row>
        <row r="58">
          <cell r="Z58" t="b">
            <v>0</v>
          </cell>
          <cell r="AA58" t="b">
            <v>0</v>
          </cell>
        </row>
        <row r="59">
          <cell r="Z59" t="b">
            <v>0</v>
          </cell>
          <cell r="AA59" t="b">
            <v>0</v>
          </cell>
        </row>
        <row r="60">
          <cell r="Z60" t="b">
            <v>0</v>
          </cell>
          <cell r="AA60" t="b">
            <v>0</v>
          </cell>
        </row>
        <row r="61">
          <cell r="Z61" t="b">
            <v>0</v>
          </cell>
          <cell r="AA61" t="b">
            <v>0</v>
          </cell>
        </row>
        <row r="62">
          <cell r="Z62" t="b">
            <v>0</v>
          </cell>
          <cell r="AA62" t="b">
            <v>0</v>
          </cell>
        </row>
        <row r="63">
          <cell r="Z63" t="b">
            <v>0</v>
          </cell>
          <cell r="AA63" t="b">
            <v>0</v>
          </cell>
        </row>
        <row r="64">
          <cell r="Z64" t="b">
            <v>0</v>
          </cell>
          <cell r="AA64" t="b">
            <v>0</v>
          </cell>
        </row>
        <row r="65">
          <cell r="Z65" t="b">
            <v>0</v>
          </cell>
          <cell r="AA65" t="b">
            <v>0</v>
          </cell>
        </row>
        <row r="66">
          <cell r="Z66" t="b">
            <v>0</v>
          </cell>
          <cell r="AA66" t="b">
            <v>0</v>
          </cell>
        </row>
        <row r="67">
          <cell r="Z67" t="b">
            <v>0</v>
          </cell>
          <cell r="AA67" t="b">
            <v>0</v>
          </cell>
        </row>
        <row r="68">
          <cell r="Z68" t="b">
            <v>0</v>
          </cell>
          <cell r="AA68" t="b">
            <v>0</v>
          </cell>
        </row>
        <row r="69">
          <cell r="Z69" t="b">
            <v>0</v>
          </cell>
          <cell r="AA69" t="b">
            <v>0</v>
          </cell>
        </row>
        <row r="70">
          <cell r="J70" t="str">
            <v>M</v>
          </cell>
          <cell r="Z70" t="b">
            <v>0</v>
          </cell>
          <cell r="AA70" t="b">
            <v>0</v>
          </cell>
        </row>
        <row r="71">
          <cell r="Z71" t="b">
            <v>0</v>
          </cell>
          <cell r="AA71" t="b">
            <v>0</v>
          </cell>
        </row>
        <row r="72">
          <cell r="Z72" t="b">
            <v>0</v>
          </cell>
          <cell r="AA72" t="b">
            <v>0</v>
          </cell>
        </row>
        <row r="73">
          <cell r="Z73" t="b">
            <v>0</v>
          </cell>
          <cell r="AA73" t="b">
            <v>0</v>
          </cell>
        </row>
        <row r="74">
          <cell r="Z74" t="b">
            <v>0</v>
          </cell>
          <cell r="AA74" t="b">
            <v>0</v>
          </cell>
        </row>
        <row r="75">
          <cell r="Z75" t="b">
            <v>0</v>
          </cell>
          <cell r="AA75" t="b">
            <v>0</v>
          </cell>
        </row>
        <row r="76">
          <cell r="Z76" t="b">
            <v>0</v>
          </cell>
          <cell r="AA76" t="b">
            <v>0</v>
          </cell>
        </row>
        <row r="77">
          <cell r="Z77" t="b">
            <v>0</v>
          </cell>
          <cell r="AA77" t="b">
            <v>0</v>
          </cell>
        </row>
        <row r="78">
          <cell r="Z78" t="b">
            <v>0</v>
          </cell>
          <cell r="AA78" t="b">
            <v>0</v>
          </cell>
        </row>
        <row r="79">
          <cell r="Z79" t="b">
            <v>0</v>
          </cell>
          <cell r="AA79" t="b">
            <v>0</v>
          </cell>
        </row>
        <row r="80">
          <cell r="Z80" t="b">
            <v>0</v>
          </cell>
          <cell r="AA80" t="b">
            <v>0</v>
          </cell>
        </row>
        <row r="81">
          <cell r="Z81" t="b">
            <v>0</v>
          </cell>
          <cell r="AA81" t="b">
            <v>0</v>
          </cell>
        </row>
        <row r="82">
          <cell r="Z82" t="b">
            <v>0</v>
          </cell>
          <cell r="AA82" t="b">
            <v>0</v>
          </cell>
        </row>
        <row r="83">
          <cell r="Z83" t="b">
            <v>0</v>
          </cell>
          <cell r="AA83" t="b">
            <v>0</v>
          </cell>
        </row>
        <row r="84">
          <cell r="Z84" t="b">
            <v>0</v>
          </cell>
          <cell r="AA84" t="b">
            <v>0</v>
          </cell>
        </row>
        <row r="85">
          <cell r="Z85" t="b">
            <v>0</v>
          </cell>
          <cell r="AA85" t="b">
            <v>0</v>
          </cell>
        </row>
        <row r="86">
          <cell r="Z86" t="b">
            <v>0</v>
          </cell>
          <cell r="AA86" t="b">
            <v>0</v>
          </cell>
        </row>
        <row r="87">
          <cell r="Z87" t="b">
            <v>0</v>
          </cell>
          <cell r="AA87" t="b">
            <v>0</v>
          </cell>
        </row>
        <row r="88">
          <cell r="Z88" t="b">
            <v>0</v>
          </cell>
          <cell r="AA88" t="b">
            <v>0</v>
          </cell>
        </row>
        <row r="89">
          <cell r="Z89" t="b">
            <v>0</v>
          </cell>
          <cell r="AA89" t="b">
            <v>0</v>
          </cell>
        </row>
        <row r="90">
          <cell r="Z90" t="b">
            <v>0</v>
          </cell>
          <cell r="AA90" t="b">
            <v>0</v>
          </cell>
        </row>
        <row r="91">
          <cell r="Z91" t="b">
            <v>0</v>
          </cell>
          <cell r="AA91" t="b">
            <v>0</v>
          </cell>
        </row>
        <row r="92">
          <cell r="Z92" t="b">
            <v>0</v>
          </cell>
          <cell r="AA92" t="b">
            <v>0</v>
          </cell>
        </row>
        <row r="93">
          <cell r="Z93" t="b">
            <v>0</v>
          </cell>
          <cell r="AA93" t="b">
            <v>0</v>
          </cell>
        </row>
        <row r="94">
          <cell r="Z94" t="b">
            <v>0</v>
          </cell>
          <cell r="AA94" t="b">
            <v>0</v>
          </cell>
        </row>
        <row r="95">
          <cell r="Z95" t="b">
            <v>0</v>
          </cell>
          <cell r="AA95" t="b">
            <v>0</v>
          </cell>
        </row>
        <row r="96">
          <cell r="Z96" t="b">
            <v>0</v>
          </cell>
          <cell r="AA96" t="b">
            <v>0</v>
          </cell>
        </row>
        <row r="97">
          <cell r="Z97" t="b">
            <v>0</v>
          </cell>
          <cell r="AA97" t="b">
            <v>0</v>
          </cell>
        </row>
        <row r="98">
          <cell r="Z98" t="b">
            <v>0</v>
          </cell>
          <cell r="AA98" t="b">
            <v>0</v>
          </cell>
        </row>
        <row r="99">
          <cell r="Z99" t="b">
            <v>0</v>
          </cell>
          <cell r="AA99" t="b">
            <v>0</v>
          </cell>
        </row>
        <row r="100">
          <cell r="Z100" t="b">
            <v>0</v>
          </cell>
          <cell r="AA100" t="b">
            <v>0</v>
          </cell>
        </row>
        <row r="101">
          <cell r="Z101" t="b">
            <v>0</v>
          </cell>
          <cell r="AA101" t="b">
            <v>0</v>
          </cell>
        </row>
        <row r="102">
          <cell r="Z102" t="b">
            <v>0</v>
          </cell>
          <cell r="AA102" t="b">
            <v>0</v>
          </cell>
        </row>
        <row r="103">
          <cell r="Z103" t="b">
            <v>0</v>
          </cell>
          <cell r="AA103" t="b">
            <v>0</v>
          </cell>
        </row>
        <row r="104">
          <cell r="Z104" t="b">
            <v>0</v>
          </cell>
          <cell r="AA104" t="b">
            <v>0</v>
          </cell>
        </row>
        <row r="105">
          <cell r="Z105" t="b">
            <v>0</v>
          </cell>
          <cell r="AA105" t="b">
            <v>0</v>
          </cell>
        </row>
        <row r="106">
          <cell r="Z106" t="b">
            <v>0</v>
          </cell>
          <cell r="AA106" t="b">
            <v>0</v>
          </cell>
        </row>
        <row r="107">
          <cell r="Z107" t="b">
            <v>0</v>
          </cell>
          <cell r="AA107" t="b">
            <v>0</v>
          </cell>
        </row>
        <row r="108">
          <cell r="Z108" t="b">
            <v>0</v>
          </cell>
          <cell r="AA108" t="b">
            <v>0</v>
          </cell>
        </row>
        <row r="109">
          <cell r="Z109" t="b">
            <v>0</v>
          </cell>
          <cell r="AA109" t="b">
            <v>0</v>
          </cell>
        </row>
        <row r="110">
          <cell r="Z110" t="b">
            <v>0</v>
          </cell>
          <cell r="AA110" t="b">
            <v>0</v>
          </cell>
        </row>
        <row r="111">
          <cell r="Z111" t="b">
            <v>0</v>
          </cell>
          <cell r="AA111" t="b">
            <v>0</v>
          </cell>
        </row>
        <row r="112">
          <cell r="Z112" t="b">
            <v>0</v>
          </cell>
          <cell r="AA112" t="b">
            <v>0</v>
          </cell>
        </row>
        <row r="113">
          <cell r="Z113" t="b">
            <v>0</v>
          </cell>
          <cell r="AA113" t="b">
            <v>0</v>
          </cell>
        </row>
        <row r="114">
          <cell r="Z114" t="b">
            <v>0</v>
          </cell>
          <cell r="AA114" t="b">
            <v>0</v>
          </cell>
        </row>
        <row r="115">
          <cell r="Z115" t="b">
            <v>0</v>
          </cell>
          <cell r="AA115" t="b">
            <v>0</v>
          </cell>
        </row>
        <row r="116">
          <cell r="Z116" t="b">
            <v>0</v>
          </cell>
          <cell r="AA116" t="b">
            <v>0</v>
          </cell>
        </row>
        <row r="117">
          <cell r="Z117" t="b">
            <v>0</v>
          </cell>
          <cell r="AA117" t="b">
            <v>0</v>
          </cell>
        </row>
        <row r="118">
          <cell r="Z118" t="b">
            <v>0</v>
          </cell>
          <cell r="AA118" t="b">
            <v>0</v>
          </cell>
        </row>
        <row r="119">
          <cell r="Z119" t="b">
            <v>0</v>
          </cell>
          <cell r="AA119" t="b">
            <v>0</v>
          </cell>
        </row>
        <row r="120">
          <cell r="Z120" t="b">
            <v>0</v>
          </cell>
          <cell r="AA120" t="b">
            <v>0</v>
          </cell>
        </row>
        <row r="121">
          <cell r="Z121" t="b">
            <v>0</v>
          </cell>
          <cell r="AA121" t="b">
            <v>0</v>
          </cell>
        </row>
        <row r="122">
          <cell r="Z122" t="b">
            <v>0</v>
          </cell>
          <cell r="AA122" t="b">
            <v>0</v>
          </cell>
        </row>
        <row r="123">
          <cell r="Z123" t="b">
            <v>0</v>
          </cell>
          <cell r="AA123" t="b">
            <v>0</v>
          </cell>
        </row>
        <row r="124">
          <cell r="Z124" t="b">
            <v>0</v>
          </cell>
          <cell r="AA124" t="b">
            <v>0</v>
          </cell>
        </row>
        <row r="125">
          <cell r="Z125" t="b">
            <v>0</v>
          </cell>
          <cell r="AA125" t="b">
            <v>0</v>
          </cell>
        </row>
        <row r="126">
          <cell r="Z126" t="b">
            <v>0</v>
          </cell>
          <cell r="AA126" t="b">
            <v>0</v>
          </cell>
        </row>
        <row r="127">
          <cell r="Z127" t="b">
            <v>0</v>
          </cell>
          <cell r="AA127" t="b">
            <v>0</v>
          </cell>
        </row>
        <row r="128">
          <cell r="Z128" t="b">
            <v>0</v>
          </cell>
          <cell r="AA128" t="b">
            <v>0</v>
          </cell>
        </row>
        <row r="129">
          <cell r="Z129" t="b">
            <v>0</v>
          </cell>
          <cell r="AA129" t="b">
            <v>0</v>
          </cell>
        </row>
        <row r="130">
          <cell r="Z130" t="b">
            <v>0</v>
          </cell>
          <cell r="AA130" t="b">
            <v>0</v>
          </cell>
        </row>
        <row r="131">
          <cell r="Z131" t="b">
            <v>0</v>
          </cell>
          <cell r="AA131" t="b">
            <v>0</v>
          </cell>
        </row>
        <row r="132">
          <cell r="Z132" t="b">
            <v>0</v>
          </cell>
          <cell r="AA132" t="b">
            <v>0</v>
          </cell>
        </row>
        <row r="133">
          <cell r="Z133" t="b">
            <v>0</v>
          </cell>
          <cell r="AA133" t="b">
            <v>0</v>
          </cell>
        </row>
        <row r="134">
          <cell r="Z134" t="b">
            <v>0</v>
          </cell>
          <cell r="AA134" t="b">
            <v>0</v>
          </cell>
        </row>
        <row r="135">
          <cell r="Z135" t="b">
            <v>0</v>
          </cell>
          <cell r="AA135" t="b">
            <v>0</v>
          </cell>
        </row>
        <row r="136">
          <cell r="Z136" t="b">
            <v>0</v>
          </cell>
          <cell r="AA136" t="b">
            <v>0</v>
          </cell>
        </row>
        <row r="137">
          <cell r="Z137" t="b">
            <v>0</v>
          </cell>
          <cell r="AA137" t="b">
            <v>0</v>
          </cell>
        </row>
        <row r="138">
          <cell r="Z138" t="b">
            <v>0</v>
          </cell>
          <cell r="AA138" t="b">
            <v>0</v>
          </cell>
        </row>
        <row r="139">
          <cell r="Z139" t="b">
            <v>0</v>
          </cell>
          <cell r="AA139" t="b">
            <v>0</v>
          </cell>
        </row>
        <row r="140">
          <cell r="Z140" t="b">
            <v>0</v>
          </cell>
          <cell r="AA140" t="b">
            <v>0</v>
          </cell>
        </row>
        <row r="141">
          <cell r="Z141" t="b">
            <v>0</v>
          </cell>
          <cell r="AA141" t="b">
            <v>0</v>
          </cell>
        </row>
        <row r="142">
          <cell r="Z142" t="b">
            <v>0</v>
          </cell>
          <cell r="AA142" t="b">
            <v>0</v>
          </cell>
        </row>
        <row r="143">
          <cell r="Z143" t="b">
            <v>0</v>
          </cell>
          <cell r="AA143" t="b">
            <v>0</v>
          </cell>
        </row>
        <row r="144">
          <cell r="Z144" t="b">
            <v>0</v>
          </cell>
          <cell r="AA144" t="b">
            <v>0</v>
          </cell>
        </row>
        <row r="145">
          <cell r="Z145" t="b">
            <v>0</v>
          </cell>
          <cell r="AA145" t="b">
            <v>0</v>
          </cell>
        </row>
        <row r="146">
          <cell r="Z146" t="b">
            <v>0</v>
          </cell>
          <cell r="AA146" t="b">
            <v>0</v>
          </cell>
        </row>
        <row r="147">
          <cell r="Z147" t="b">
            <v>0</v>
          </cell>
          <cell r="AA147" t="b">
            <v>0</v>
          </cell>
        </row>
        <row r="148">
          <cell r="Z148" t="b">
            <v>0</v>
          </cell>
          <cell r="AA148" t="b">
            <v>0</v>
          </cell>
        </row>
        <row r="149">
          <cell r="Z149" t="b">
            <v>0</v>
          </cell>
          <cell r="AA149" t="b">
            <v>0</v>
          </cell>
        </row>
        <row r="150">
          <cell r="Z150" t="b">
            <v>0</v>
          </cell>
          <cell r="AA150" t="b">
            <v>0</v>
          </cell>
        </row>
        <row r="151">
          <cell r="Z151" t="b">
            <v>0</v>
          </cell>
          <cell r="AA151" t="b">
            <v>0</v>
          </cell>
        </row>
        <row r="152">
          <cell r="Z152" t="b">
            <v>0</v>
          </cell>
          <cell r="AA152" t="b">
            <v>0</v>
          </cell>
        </row>
        <row r="153">
          <cell r="Z153" t="b">
            <v>0</v>
          </cell>
          <cell r="AA153" t="b">
            <v>0</v>
          </cell>
        </row>
        <row r="154">
          <cell r="Z154" t="b">
            <v>0</v>
          </cell>
          <cell r="AA154" t="b">
            <v>0</v>
          </cell>
        </row>
        <row r="155">
          <cell r="Z155" t="b">
            <v>0</v>
          </cell>
          <cell r="AA155" t="b">
            <v>0</v>
          </cell>
        </row>
        <row r="156">
          <cell r="Z156" t="b">
            <v>0</v>
          </cell>
          <cell r="AA156" t="b">
            <v>0</v>
          </cell>
        </row>
        <row r="157">
          <cell r="Z157" t="b">
            <v>0</v>
          </cell>
          <cell r="AA157" t="b">
            <v>0</v>
          </cell>
        </row>
        <row r="158">
          <cell r="Z158" t="b">
            <v>0</v>
          </cell>
          <cell r="AA158" t="b">
            <v>0</v>
          </cell>
        </row>
        <row r="159">
          <cell r="Z159" t="b">
            <v>0</v>
          </cell>
          <cell r="AA159" t="b">
            <v>0</v>
          </cell>
        </row>
        <row r="160">
          <cell r="Z160" t="b">
            <v>0</v>
          </cell>
          <cell r="AA160" t="b">
            <v>0</v>
          </cell>
        </row>
        <row r="161">
          <cell r="Z161" t="b">
            <v>0</v>
          </cell>
          <cell r="AA161" t="b">
            <v>0</v>
          </cell>
        </row>
        <row r="162">
          <cell r="Z162" t="b">
            <v>0</v>
          </cell>
          <cell r="AA162" t="b">
            <v>0</v>
          </cell>
        </row>
        <row r="163">
          <cell r="Z163" t="b">
            <v>0</v>
          </cell>
          <cell r="AA163" t="b">
            <v>0</v>
          </cell>
        </row>
        <row r="164">
          <cell r="Z164" t="b">
            <v>0</v>
          </cell>
          <cell r="AA164" t="b">
            <v>0</v>
          </cell>
        </row>
        <row r="165">
          <cell r="Z165" t="b">
            <v>0</v>
          </cell>
          <cell r="AA165" t="b">
            <v>0</v>
          </cell>
        </row>
        <row r="166">
          <cell r="Z166" t="b">
            <v>0</v>
          </cell>
          <cell r="AA166" t="b">
            <v>0</v>
          </cell>
        </row>
        <row r="167">
          <cell r="Z167" t="b">
            <v>0</v>
          </cell>
          <cell r="AA167" t="b">
            <v>0</v>
          </cell>
        </row>
        <row r="168">
          <cell r="Z168" t="b">
            <v>0</v>
          </cell>
          <cell r="AA168" t="b">
            <v>0</v>
          </cell>
        </row>
        <row r="169">
          <cell r="Z169" t="b">
            <v>0</v>
          </cell>
          <cell r="AA169" t="b">
            <v>0</v>
          </cell>
        </row>
        <row r="170">
          <cell r="Z170" t="b">
            <v>0</v>
          </cell>
          <cell r="AA170" t="b">
            <v>0</v>
          </cell>
        </row>
        <row r="171">
          <cell r="Z171" t="b">
            <v>0</v>
          </cell>
          <cell r="AA171" t="b">
            <v>0</v>
          </cell>
        </row>
        <row r="172">
          <cell r="Z172" t="b">
            <v>0</v>
          </cell>
          <cell r="AA172" t="b">
            <v>0</v>
          </cell>
        </row>
        <row r="173">
          <cell r="Z173" t="b">
            <v>0</v>
          </cell>
          <cell r="AA173" t="b">
            <v>0</v>
          </cell>
        </row>
        <row r="174">
          <cell r="Z174" t="b">
            <v>0</v>
          </cell>
          <cell r="AA174" t="b">
            <v>0</v>
          </cell>
        </row>
        <row r="175">
          <cell r="Z175" t="b">
            <v>0</v>
          </cell>
          <cell r="AA175" t="b">
            <v>0</v>
          </cell>
        </row>
        <row r="176">
          <cell r="Z176" t="b">
            <v>0</v>
          </cell>
          <cell r="AA176" t="b">
            <v>0</v>
          </cell>
        </row>
        <row r="177">
          <cell r="Z177" t="b">
            <v>0</v>
          </cell>
          <cell r="AA177" t="b">
            <v>0</v>
          </cell>
        </row>
        <row r="178">
          <cell r="Z178" t="b">
            <v>0</v>
          </cell>
          <cell r="AA178" t="b">
            <v>0</v>
          </cell>
        </row>
        <row r="179">
          <cell r="Z179" t="b">
            <v>0</v>
          </cell>
          <cell r="AA179" t="b">
            <v>0</v>
          </cell>
        </row>
        <row r="180">
          <cell r="Z180" t="b">
            <v>0</v>
          </cell>
          <cell r="AA180" t="b">
            <v>0</v>
          </cell>
        </row>
        <row r="181">
          <cell r="Z181" t="b">
            <v>0</v>
          </cell>
          <cell r="AA181" t="b">
            <v>0</v>
          </cell>
        </row>
        <row r="182">
          <cell r="Z182" t="b">
            <v>0</v>
          </cell>
          <cell r="AA182" t="b">
            <v>0</v>
          </cell>
        </row>
        <row r="183">
          <cell r="Z183" t="b">
            <v>0</v>
          </cell>
          <cell r="AA183" t="b">
            <v>0</v>
          </cell>
        </row>
        <row r="184">
          <cell r="Z184" t="b">
            <v>0</v>
          </cell>
          <cell r="AA184" t="b">
            <v>0</v>
          </cell>
        </row>
        <row r="185">
          <cell r="Z185" t="b">
            <v>0</v>
          </cell>
          <cell r="AA185" t="b">
            <v>0</v>
          </cell>
        </row>
        <row r="186">
          <cell r="Z186" t="b">
            <v>0</v>
          </cell>
          <cell r="AA186" t="b">
            <v>0</v>
          </cell>
        </row>
        <row r="187">
          <cell r="Z187" t="b">
            <v>0</v>
          </cell>
          <cell r="AA187" t="b">
            <v>0</v>
          </cell>
        </row>
        <row r="188">
          <cell r="Z188" t="b">
            <v>0</v>
          </cell>
          <cell r="AA188" t="b">
            <v>0</v>
          </cell>
        </row>
        <row r="189">
          <cell r="Z189" t="b">
            <v>0</v>
          </cell>
          <cell r="AA189" t="b">
            <v>0</v>
          </cell>
        </row>
        <row r="190">
          <cell r="Z190" t="b">
            <v>0</v>
          </cell>
          <cell r="AA190" t="b">
            <v>0</v>
          </cell>
        </row>
        <row r="191">
          <cell r="Z191" t="b">
            <v>0</v>
          </cell>
          <cell r="AA191" t="b">
            <v>0</v>
          </cell>
        </row>
        <row r="192">
          <cell r="Z192" t="b">
            <v>0</v>
          </cell>
          <cell r="AA192" t="b">
            <v>0</v>
          </cell>
        </row>
        <row r="193">
          <cell r="Z193" t="b">
            <v>0</v>
          </cell>
          <cell r="AA193" t="b">
            <v>0</v>
          </cell>
        </row>
        <row r="194">
          <cell r="Z194" t="b">
            <v>0</v>
          </cell>
          <cell r="AA194" t="b">
            <v>0</v>
          </cell>
        </row>
        <row r="195">
          <cell r="Z195" t="b">
            <v>0</v>
          </cell>
          <cell r="AA195" t="b">
            <v>0</v>
          </cell>
        </row>
        <row r="196">
          <cell r="Z196" t="b">
            <v>0</v>
          </cell>
          <cell r="AA196" t="b">
            <v>0</v>
          </cell>
        </row>
        <row r="197">
          <cell r="Z197" t="b">
            <v>0</v>
          </cell>
          <cell r="AA197" t="b">
            <v>0</v>
          </cell>
        </row>
        <row r="198">
          <cell r="Z198" t="b">
            <v>0</v>
          </cell>
          <cell r="AA198" t="b">
            <v>0</v>
          </cell>
        </row>
        <row r="199">
          <cell r="Z199" t="b">
            <v>0</v>
          </cell>
          <cell r="AA199" t="b">
            <v>0</v>
          </cell>
        </row>
        <row r="200">
          <cell r="Z200" t="b">
            <v>0</v>
          </cell>
          <cell r="AA200" t="b">
            <v>0</v>
          </cell>
        </row>
        <row r="201">
          <cell r="Z201" t="b">
            <v>0</v>
          </cell>
          <cell r="AA201" t="b">
            <v>0</v>
          </cell>
        </row>
        <row r="202">
          <cell r="Z202" t="b">
            <v>0</v>
          </cell>
          <cell r="AA202" t="b">
            <v>0</v>
          </cell>
        </row>
        <row r="203">
          <cell r="Z203" t="b">
            <v>0</v>
          </cell>
          <cell r="AA203" t="b">
            <v>0</v>
          </cell>
        </row>
        <row r="204">
          <cell r="Z204" t="b">
            <v>0</v>
          </cell>
          <cell r="AA204" t="b">
            <v>0</v>
          </cell>
        </row>
        <row r="205">
          <cell r="Z205" t="b">
            <v>0</v>
          </cell>
          <cell r="AA205" t="b">
            <v>0</v>
          </cell>
        </row>
        <row r="206">
          <cell r="Z206" t="b">
            <v>0</v>
          </cell>
          <cell r="AA206" t="b">
            <v>0</v>
          </cell>
        </row>
        <row r="207">
          <cell r="Z207" t="b">
            <v>0</v>
          </cell>
          <cell r="AA207" t="b">
            <v>0</v>
          </cell>
        </row>
        <row r="208">
          <cell r="Z208" t="b">
            <v>0</v>
          </cell>
          <cell r="AA208" t="b">
            <v>0</v>
          </cell>
        </row>
        <row r="209">
          <cell r="Z209" t="b">
            <v>0</v>
          </cell>
          <cell r="AA209" t="b">
            <v>0</v>
          </cell>
        </row>
        <row r="210">
          <cell r="Z210" t="b">
            <v>0</v>
          </cell>
          <cell r="AA210" t="b">
            <v>0</v>
          </cell>
        </row>
        <row r="211">
          <cell r="Z211" t="b">
            <v>0</v>
          </cell>
          <cell r="AA211" t="b">
            <v>0</v>
          </cell>
        </row>
        <row r="212">
          <cell r="Z212" t="b">
            <v>0</v>
          </cell>
          <cell r="AA212" t="b">
            <v>0</v>
          </cell>
        </row>
        <row r="213">
          <cell r="Z213" t="b">
            <v>0</v>
          </cell>
          <cell r="AA213" t="b">
            <v>0</v>
          </cell>
        </row>
        <row r="214">
          <cell r="Z214" t="b">
            <v>0</v>
          </cell>
          <cell r="AA214" t="b">
            <v>0</v>
          </cell>
        </row>
        <row r="215">
          <cell r="Z215" t="b">
            <v>0</v>
          </cell>
          <cell r="AA215" t="b">
            <v>0</v>
          </cell>
        </row>
        <row r="216">
          <cell r="Z216" t="b">
            <v>0</v>
          </cell>
          <cell r="AA216" t="b">
            <v>0</v>
          </cell>
        </row>
        <row r="217">
          <cell r="Z217" t="b">
            <v>0</v>
          </cell>
          <cell r="AA217" t="b">
            <v>0</v>
          </cell>
        </row>
        <row r="218">
          <cell r="Z218" t="b">
            <v>0</v>
          </cell>
          <cell r="AA218" t="b">
            <v>0</v>
          </cell>
        </row>
        <row r="219">
          <cell r="Z219" t="b">
            <v>0</v>
          </cell>
          <cell r="AA219" t="b">
            <v>0</v>
          </cell>
        </row>
        <row r="220">
          <cell r="Z220" t="b">
            <v>0</v>
          </cell>
          <cell r="AA220" t="b">
            <v>0</v>
          </cell>
        </row>
        <row r="221">
          <cell r="Z221" t="b">
            <v>0</v>
          </cell>
          <cell r="AA221" t="b">
            <v>0</v>
          </cell>
        </row>
        <row r="222">
          <cell r="Z222" t="b">
            <v>0</v>
          </cell>
          <cell r="AA222" t="b">
            <v>0</v>
          </cell>
        </row>
        <row r="223">
          <cell r="Z223" t="b">
            <v>0</v>
          </cell>
          <cell r="AA223" t="b">
            <v>0</v>
          </cell>
        </row>
        <row r="224">
          <cell r="Z224" t="b">
            <v>0</v>
          </cell>
          <cell r="AA224" t="b">
            <v>0</v>
          </cell>
        </row>
        <row r="225">
          <cell r="Z225" t="b">
            <v>0</v>
          </cell>
          <cell r="AA225" t="b">
            <v>0</v>
          </cell>
        </row>
        <row r="226">
          <cell r="Z226" t="b">
            <v>0</v>
          </cell>
          <cell r="AA226" t="b">
            <v>0</v>
          </cell>
        </row>
        <row r="227">
          <cell r="Z227" t="b">
            <v>0</v>
          </cell>
          <cell r="AA227" t="b">
            <v>0</v>
          </cell>
        </row>
        <row r="228">
          <cell r="Z228" t="b">
            <v>0</v>
          </cell>
          <cell r="AA228" t="b">
            <v>0</v>
          </cell>
        </row>
        <row r="229">
          <cell r="Z229" t="b">
            <v>0</v>
          </cell>
          <cell r="AA229" t="b">
            <v>0</v>
          </cell>
        </row>
        <row r="230">
          <cell r="Z230" t="b">
            <v>0</v>
          </cell>
          <cell r="AA230" t="b">
            <v>0</v>
          </cell>
        </row>
        <row r="231">
          <cell r="Z231" t="b">
            <v>0</v>
          </cell>
          <cell r="AA231" t="b">
            <v>0</v>
          </cell>
        </row>
        <row r="232">
          <cell r="Z232" t="b">
            <v>0</v>
          </cell>
          <cell r="AA232" t="b">
            <v>0</v>
          </cell>
        </row>
        <row r="233">
          <cell r="Z233" t="b">
            <v>0</v>
          </cell>
          <cell r="AA233" t="b">
            <v>0</v>
          </cell>
        </row>
        <row r="234">
          <cell r="Z234" t="b">
            <v>0</v>
          </cell>
          <cell r="AA234" t="b">
            <v>0</v>
          </cell>
        </row>
        <row r="235">
          <cell r="Z235" t="b">
            <v>0</v>
          </cell>
          <cell r="AA235" t="b">
            <v>0</v>
          </cell>
        </row>
        <row r="236">
          <cell r="Z236" t="b">
            <v>0</v>
          </cell>
          <cell r="AA236" t="b">
            <v>0</v>
          </cell>
        </row>
        <row r="237">
          <cell r="Z237" t="b">
            <v>0</v>
          </cell>
          <cell r="AA237" t="b">
            <v>0</v>
          </cell>
        </row>
        <row r="238">
          <cell r="Z238" t="b">
            <v>0</v>
          </cell>
          <cell r="AA238" t="b">
            <v>0</v>
          </cell>
        </row>
        <row r="239">
          <cell r="Z239" t="b">
            <v>0</v>
          </cell>
          <cell r="AA239" t="b">
            <v>0</v>
          </cell>
        </row>
        <row r="240">
          <cell r="Z240" t="b">
            <v>0</v>
          </cell>
          <cell r="AA240" t="b">
            <v>0</v>
          </cell>
        </row>
        <row r="241">
          <cell r="Z241" t="b">
            <v>0</v>
          </cell>
          <cell r="AA241" t="b">
            <v>0</v>
          </cell>
        </row>
        <row r="242">
          <cell r="Z242" t="b">
            <v>0</v>
          </cell>
          <cell r="AA242" t="b">
            <v>0</v>
          </cell>
        </row>
        <row r="243">
          <cell r="Z243" t="b">
            <v>0</v>
          </cell>
          <cell r="AA243" t="b">
            <v>0</v>
          </cell>
        </row>
        <row r="244">
          <cell r="Z244" t="b">
            <v>0</v>
          </cell>
          <cell r="AA244" t="b">
            <v>0</v>
          </cell>
        </row>
        <row r="245">
          <cell r="Z245" t="b">
            <v>0</v>
          </cell>
          <cell r="AA245" t="b">
            <v>0</v>
          </cell>
        </row>
        <row r="246">
          <cell r="Z246" t="b">
            <v>0</v>
          </cell>
          <cell r="AA246" t="b">
            <v>0</v>
          </cell>
        </row>
        <row r="247">
          <cell r="Z247" t="b">
            <v>0</v>
          </cell>
          <cell r="AA247" t="b">
            <v>0</v>
          </cell>
        </row>
        <row r="248">
          <cell r="Z248" t="b">
            <v>0</v>
          </cell>
          <cell r="AA248" t="b">
            <v>0</v>
          </cell>
        </row>
        <row r="249">
          <cell r="Z249" t="b">
            <v>0</v>
          </cell>
          <cell r="AA249" t="b">
            <v>0</v>
          </cell>
        </row>
        <row r="250">
          <cell r="Z250" t="b">
            <v>0</v>
          </cell>
          <cell r="AA250" t="b">
            <v>0</v>
          </cell>
        </row>
        <row r="251">
          <cell r="Z251" t="b">
            <v>0</v>
          </cell>
          <cell r="AA251" t="b">
            <v>0</v>
          </cell>
        </row>
        <row r="252">
          <cell r="Z252" t="b">
            <v>0</v>
          </cell>
          <cell r="AA252" t="b">
            <v>0</v>
          </cell>
        </row>
        <row r="253">
          <cell r="Z253" t="b">
            <v>0</v>
          </cell>
          <cell r="AA253" t="b">
            <v>0</v>
          </cell>
        </row>
        <row r="254">
          <cell r="Z254" t="b">
            <v>0</v>
          </cell>
          <cell r="AA254" t="b">
            <v>0</v>
          </cell>
        </row>
        <row r="255">
          <cell r="Z255" t="b">
            <v>0</v>
          </cell>
          <cell r="AA255" t="b">
            <v>0</v>
          </cell>
        </row>
        <row r="256">
          <cell r="Z256" t="b">
            <v>0</v>
          </cell>
          <cell r="AA256" t="b">
            <v>0</v>
          </cell>
        </row>
        <row r="257">
          <cell r="Z257" t="b">
            <v>0</v>
          </cell>
          <cell r="AA257" t="b">
            <v>0</v>
          </cell>
        </row>
        <row r="258">
          <cell r="Z258" t="b">
            <v>0</v>
          </cell>
          <cell r="AA258" t="b">
            <v>0</v>
          </cell>
        </row>
        <row r="259">
          <cell r="Z259" t="b">
            <v>0</v>
          </cell>
          <cell r="AA259" t="b">
            <v>0</v>
          </cell>
        </row>
        <row r="260">
          <cell r="Z260" t="b">
            <v>0</v>
          </cell>
          <cell r="AA260" t="b">
            <v>0</v>
          </cell>
        </row>
        <row r="261">
          <cell r="Z261" t="b">
            <v>0</v>
          </cell>
          <cell r="AA261" t="b">
            <v>0</v>
          </cell>
        </row>
        <row r="262">
          <cell r="Z262" t="b">
            <v>0</v>
          </cell>
          <cell r="AA262" t="b">
            <v>0</v>
          </cell>
        </row>
        <row r="263">
          <cell r="Z263" t="b">
            <v>0</v>
          </cell>
          <cell r="AA263" t="b">
            <v>0</v>
          </cell>
        </row>
        <row r="264">
          <cell r="Z264" t="b">
            <v>0</v>
          </cell>
          <cell r="AA264" t="b">
            <v>0</v>
          </cell>
        </row>
        <row r="265">
          <cell r="Z265" t="b">
            <v>0</v>
          </cell>
          <cell r="AA265" t="b">
            <v>0</v>
          </cell>
        </row>
        <row r="266">
          <cell r="Z266" t="b">
            <v>0</v>
          </cell>
          <cell r="AA266" t="b">
            <v>0</v>
          </cell>
        </row>
        <row r="267">
          <cell r="Z267" t="b">
            <v>0</v>
          </cell>
          <cell r="AA267" t="b">
            <v>0</v>
          </cell>
        </row>
        <row r="268">
          <cell r="Z268" t="b">
            <v>0</v>
          </cell>
          <cell r="AA268" t="b">
            <v>0</v>
          </cell>
        </row>
        <row r="269">
          <cell r="Z269" t="b">
            <v>0</v>
          </cell>
          <cell r="AA269" t="b">
            <v>0</v>
          </cell>
        </row>
        <row r="270">
          <cell r="Z270" t="b">
            <v>0</v>
          </cell>
          <cell r="AA270" t="b">
            <v>0</v>
          </cell>
        </row>
        <row r="271">
          <cell r="Z271" t="b">
            <v>0</v>
          </cell>
          <cell r="AA271" t="b">
            <v>0</v>
          </cell>
        </row>
        <row r="272">
          <cell r="Z272" t="b">
            <v>0</v>
          </cell>
          <cell r="AA272" t="b">
            <v>0</v>
          </cell>
        </row>
        <row r="273">
          <cell r="Z273" t="b">
            <v>0</v>
          </cell>
          <cell r="AA273" t="b">
            <v>0</v>
          </cell>
        </row>
        <row r="274">
          <cell r="Z274" t="b">
            <v>0</v>
          </cell>
          <cell r="AA274" t="b">
            <v>0</v>
          </cell>
        </row>
        <row r="275">
          <cell r="Z275" t="b">
            <v>0</v>
          </cell>
          <cell r="AA275" t="b">
            <v>0</v>
          </cell>
        </row>
        <row r="276">
          <cell r="Z276" t="b">
            <v>0</v>
          </cell>
          <cell r="AA276" t="b">
            <v>0</v>
          </cell>
        </row>
        <row r="277">
          <cell r="Z277" t="b">
            <v>0</v>
          </cell>
          <cell r="AA277" t="b">
            <v>0</v>
          </cell>
        </row>
        <row r="278">
          <cell r="Z278" t="b">
            <v>0</v>
          </cell>
          <cell r="AA278" t="b">
            <v>0</v>
          </cell>
        </row>
        <row r="279">
          <cell r="Z279" t="b">
            <v>0</v>
          </cell>
          <cell r="AA279" t="b">
            <v>0</v>
          </cell>
        </row>
        <row r="280">
          <cell r="Z280" t="b">
            <v>0</v>
          </cell>
          <cell r="AA280" t="b">
            <v>0</v>
          </cell>
        </row>
        <row r="281">
          <cell r="Z281" t="b">
            <v>0</v>
          </cell>
          <cell r="AA281" t="b">
            <v>0</v>
          </cell>
        </row>
        <row r="282">
          <cell r="Z282" t="b">
            <v>0</v>
          </cell>
          <cell r="AA282" t="b">
            <v>0</v>
          </cell>
        </row>
        <row r="283">
          <cell r="Z283" t="b">
            <v>0</v>
          </cell>
          <cell r="AA283" t="b">
            <v>0</v>
          </cell>
        </row>
        <row r="284">
          <cell r="Z284" t="b">
            <v>0</v>
          </cell>
          <cell r="AA284" t="b">
            <v>0</v>
          </cell>
        </row>
        <row r="285">
          <cell r="Z285" t="b">
            <v>0</v>
          </cell>
          <cell r="AA285" t="b">
            <v>0</v>
          </cell>
        </row>
        <row r="286">
          <cell r="Z286" t="b">
            <v>0</v>
          </cell>
          <cell r="AA286" t="b">
            <v>0</v>
          </cell>
        </row>
        <row r="287">
          <cell r="Z287" t="b">
            <v>0</v>
          </cell>
          <cell r="AA287" t="b">
            <v>0</v>
          </cell>
        </row>
        <row r="288">
          <cell r="Z288" t="b">
            <v>0</v>
          </cell>
          <cell r="AA288" t="b">
            <v>0</v>
          </cell>
        </row>
        <row r="289">
          <cell r="Z289" t="b">
            <v>0</v>
          </cell>
          <cell r="AA289" t="b">
            <v>0</v>
          </cell>
        </row>
        <row r="290">
          <cell r="Z290" t="b">
            <v>0</v>
          </cell>
          <cell r="AA290" t="b">
            <v>0</v>
          </cell>
        </row>
        <row r="291">
          <cell r="Z291" t="b">
            <v>0</v>
          </cell>
          <cell r="AA291" t="b">
            <v>0</v>
          </cell>
        </row>
        <row r="292">
          <cell r="Z292" t="b">
            <v>0</v>
          </cell>
          <cell r="AA292" t="b">
            <v>0</v>
          </cell>
        </row>
        <row r="293">
          <cell r="Z293" t="b">
            <v>0</v>
          </cell>
          <cell r="AA293" t="b">
            <v>0</v>
          </cell>
        </row>
        <row r="294">
          <cell r="Z294" t="b">
            <v>0</v>
          </cell>
          <cell r="AA294" t="b">
            <v>0</v>
          </cell>
        </row>
        <row r="295">
          <cell r="Z295" t="b">
            <v>0</v>
          </cell>
          <cell r="AA295" t="b">
            <v>0</v>
          </cell>
        </row>
        <row r="296">
          <cell r="Z296" t="b">
            <v>0</v>
          </cell>
          <cell r="AA296" t="b">
            <v>0</v>
          </cell>
        </row>
        <row r="297">
          <cell r="Z297" t="b">
            <v>0</v>
          </cell>
          <cell r="AA297" t="b">
            <v>0</v>
          </cell>
        </row>
        <row r="298">
          <cell r="Z298" t="b">
            <v>0</v>
          </cell>
          <cell r="AA298" t="b">
            <v>0</v>
          </cell>
        </row>
        <row r="299">
          <cell r="Z299" t="b">
            <v>0</v>
          </cell>
          <cell r="AA299" t="b">
            <v>0</v>
          </cell>
        </row>
        <row r="300">
          <cell r="Z300" t="b">
            <v>0</v>
          </cell>
          <cell r="AA300" t="b">
            <v>0</v>
          </cell>
        </row>
        <row r="301">
          <cell r="Z301" t="b">
            <v>0</v>
          </cell>
          <cell r="AA301" t="b">
            <v>0</v>
          </cell>
        </row>
        <row r="302">
          <cell r="Z302" t="b">
            <v>0</v>
          </cell>
          <cell r="AA302" t="b">
            <v>0</v>
          </cell>
        </row>
        <row r="303">
          <cell r="Z303" t="b">
            <v>0</v>
          </cell>
          <cell r="AA303" t="b">
            <v>0</v>
          </cell>
        </row>
        <row r="304">
          <cell r="Z304" t="b">
            <v>0</v>
          </cell>
          <cell r="AA304" t="b">
            <v>0</v>
          </cell>
        </row>
        <row r="305">
          <cell r="Z305" t="b">
            <v>0</v>
          </cell>
          <cell r="AA305" t="b">
            <v>0</v>
          </cell>
        </row>
        <row r="306">
          <cell r="Z306" t="b">
            <v>0</v>
          </cell>
          <cell r="AA306" t="b">
            <v>0</v>
          </cell>
        </row>
        <row r="307">
          <cell r="Z307" t="b">
            <v>0</v>
          </cell>
          <cell r="AA307" t="b">
            <v>0</v>
          </cell>
        </row>
        <row r="308">
          <cell r="Z308" t="b">
            <v>0</v>
          </cell>
          <cell r="AA308" t="b">
            <v>0</v>
          </cell>
        </row>
        <row r="309">
          <cell r="Z309" t="b">
            <v>0</v>
          </cell>
          <cell r="AA309" t="b">
            <v>0</v>
          </cell>
        </row>
        <row r="310">
          <cell r="Z310" t="b">
            <v>0</v>
          </cell>
          <cell r="AA310" t="b">
            <v>0</v>
          </cell>
        </row>
        <row r="311">
          <cell r="Z311" t="b">
            <v>0</v>
          </cell>
          <cell r="AA311" t="b">
            <v>0</v>
          </cell>
        </row>
        <row r="312">
          <cell r="Z312" t="b">
            <v>0</v>
          </cell>
          <cell r="AA312" t="b">
            <v>0</v>
          </cell>
        </row>
        <row r="313">
          <cell r="Z313" t="b">
            <v>0</v>
          </cell>
          <cell r="AA313" t="b">
            <v>0</v>
          </cell>
        </row>
        <row r="314">
          <cell r="Z314" t="b">
            <v>0</v>
          </cell>
          <cell r="AA314" t="b">
            <v>0</v>
          </cell>
        </row>
        <row r="315">
          <cell r="Z315" t="b">
            <v>0</v>
          </cell>
          <cell r="AA315" t="b">
            <v>0</v>
          </cell>
        </row>
        <row r="316">
          <cell r="Z316" t="b">
            <v>0</v>
          </cell>
          <cell r="AA316" t="b">
            <v>0</v>
          </cell>
        </row>
        <row r="317">
          <cell r="Z317" t="b">
            <v>0</v>
          </cell>
          <cell r="AA317" t="b">
            <v>0</v>
          </cell>
        </row>
        <row r="318">
          <cell r="Z318" t="b">
            <v>0</v>
          </cell>
          <cell r="AA318" t="b">
            <v>0</v>
          </cell>
        </row>
        <row r="319">
          <cell r="Z319" t="b">
            <v>0</v>
          </cell>
          <cell r="AA319" t="b">
            <v>0</v>
          </cell>
        </row>
        <row r="320">
          <cell r="Z320" t="b">
            <v>0</v>
          </cell>
          <cell r="AA320" t="b">
            <v>0</v>
          </cell>
        </row>
        <row r="321">
          <cell r="Z321" t="b">
            <v>0</v>
          </cell>
          <cell r="AA321" t="b">
            <v>0</v>
          </cell>
        </row>
        <row r="322">
          <cell r="Z322" t="b">
            <v>0</v>
          </cell>
          <cell r="AA322" t="b">
            <v>0</v>
          </cell>
        </row>
        <row r="323">
          <cell r="Z323" t="b">
            <v>0</v>
          </cell>
          <cell r="AA323" t="b">
            <v>0</v>
          </cell>
        </row>
        <row r="324">
          <cell r="Z324" t="b">
            <v>0</v>
          </cell>
          <cell r="AA324" t="b">
            <v>0</v>
          </cell>
        </row>
        <row r="325">
          <cell r="Z325" t="b">
            <v>0</v>
          </cell>
          <cell r="AA325" t="b">
            <v>0</v>
          </cell>
        </row>
        <row r="326">
          <cell r="Z326" t="b">
            <v>0</v>
          </cell>
          <cell r="AA326" t="b">
            <v>0</v>
          </cell>
        </row>
        <row r="327">
          <cell r="Z327" t="b">
            <v>0</v>
          </cell>
          <cell r="AA327" t="b">
            <v>0</v>
          </cell>
        </row>
        <row r="328">
          <cell r="Z328" t="b">
            <v>0</v>
          </cell>
          <cell r="AA328" t="b">
            <v>0</v>
          </cell>
        </row>
        <row r="329">
          <cell r="Z329" t="b">
            <v>0</v>
          </cell>
          <cell r="AA329" t="b">
            <v>0</v>
          </cell>
        </row>
        <row r="330">
          <cell r="Z330" t="b">
            <v>0</v>
          </cell>
          <cell r="AA330" t="b">
            <v>0</v>
          </cell>
        </row>
        <row r="331">
          <cell r="Z331" t="b">
            <v>0</v>
          </cell>
          <cell r="AA331" t="b">
            <v>0</v>
          </cell>
        </row>
        <row r="332">
          <cell r="Z332" t="b">
            <v>0</v>
          </cell>
          <cell r="AA332" t="b">
            <v>0</v>
          </cell>
        </row>
        <row r="333">
          <cell r="Z333" t="b">
            <v>0</v>
          </cell>
          <cell r="AA333" t="b">
            <v>0</v>
          </cell>
        </row>
        <row r="334">
          <cell r="Z334" t="b">
            <v>0</v>
          </cell>
          <cell r="AA334" t="b">
            <v>0</v>
          </cell>
        </row>
        <row r="335">
          <cell r="Z335" t="b">
            <v>0</v>
          </cell>
          <cell r="AA335" t="b">
            <v>0</v>
          </cell>
        </row>
        <row r="336">
          <cell r="Z336" t="b">
            <v>0</v>
          </cell>
          <cell r="AA336" t="b">
            <v>0</v>
          </cell>
        </row>
        <row r="337">
          <cell r="Z337" t="b">
            <v>0</v>
          </cell>
          <cell r="AA337" t="b">
            <v>0</v>
          </cell>
        </row>
        <row r="338">
          <cell r="Z338" t="b">
            <v>0</v>
          </cell>
          <cell r="AA338" t="b">
            <v>0</v>
          </cell>
        </row>
        <row r="339">
          <cell r="Z339" t="b">
            <v>0</v>
          </cell>
          <cell r="AA339" t="b">
            <v>0</v>
          </cell>
        </row>
        <row r="340">
          <cell r="Z340" t="b">
            <v>0</v>
          </cell>
          <cell r="AA340" t="b">
            <v>0</v>
          </cell>
        </row>
        <row r="341">
          <cell r="Z341" t="b">
            <v>0</v>
          </cell>
          <cell r="AA341" t="b">
            <v>0</v>
          </cell>
        </row>
        <row r="342">
          <cell r="Z342" t="b">
            <v>0</v>
          </cell>
          <cell r="AA342" t="b">
            <v>0</v>
          </cell>
        </row>
        <row r="343">
          <cell r="Z343" t="b">
            <v>0</v>
          </cell>
          <cell r="AA343" t="b">
            <v>0</v>
          </cell>
        </row>
        <row r="344">
          <cell r="Z344" t="b">
            <v>0</v>
          </cell>
          <cell r="AA344" t="b">
            <v>0</v>
          </cell>
        </row>
        <row r="345">
          <cell r="Z345" t="b">
            <v>0</v>
          </cell>
          <cell r="AA345" t="b">
            <v>0</v>
          </cell>
        </row>
        <row r="346">
          <cell r="Z346" t="b">
            <v>0</v>
          </cell>
          <cell r="AA346" t="b">
            <v>0</v>
          </cell>
        </row>
        <row r="347">
          <cell r="Z347" t="b">
            <v>0</v>
          </cell>
          <cell r="AA347" t="b">
            <v>0</v>
          </cell>
        </row>
        <row r="348">
          <cell r="Z348" t="b">
            <v>0</v>
          </cell>
          <cell r="AA348" t="b">
            <v>0</v>
          </cell>
        </row>
        <row r="349">
          <cell r="Z349" t="b">
            <v>0</v>
          </cell>
          <cell r="AA349" t="b">
            <v>0</v>
          </cell>
        </row>
        <row r="350">
          <cell r="Z350" t="b">
            <v>0</v>
          </cell>
          <cell r="AA350" t="b">
            <v>0</v>
          </cell>
        </row>
        <row r="351">
          <cell r="Z351" t="b">
            <v>0</v>
          </cell>
          <cell r="AA351" t="b">
            <v>0</v>
          </cell>
        </row>
        <row r="352">
          <cell r="Z352" t="b">
            <v>0</v>
          </cell>
          <cell r="AA352" t="b">
            <v>0</v>
          </cell>
        </row>
        <row r="353">
          <cell r="Z353" t="b">
            <v>0</v>
          </cell>
          <cell r="AA353" t="b">
            <v>0</v>
          </cell>
        </row>
        <row r="354">
          <cell r="Z354" t="b">
            <v>0</v>
          </cell>
          <cell r="AA354" t="b">
            <v>0</v>
          </cell>
        </row>
        <row r="355">
          <cell r="Z355" t="b">
            <v>0</v>
          </cell>
          <cell r="AA355" t="b">
            <v>0</v>
          </cell>
        </row>
        <row r="356">
          <cell r="Z356" t="b">
            <v>0</v>
          </cell>
          <cell r="AA356" t="b">
            <v>0</v>
          </cell>
        </row>
        <row r="357">
          <cell r="Z357" t="b">
            <v>0</v>
          </cell>
          <cell r="AA357" t="b">
            <v>0</v>
          </cell>
        </row>
        <row r="358">
          <cell r="Z358" t="b">
            <v>0</v>
          </cell>
          <cell r="AA358" t="b">
            <v>0</v>
          </cell>
        </row>
        <row r="359">
          <cell r="Z359" t="b">
            <v>0</v>
          </cell>
          <cell r="AA359" t="b">
            <v>0</v>
          </cell>
        </row>
        <row r="360">
          <cell r="Z360" t="b">
            <v>0</v>
          </cell>
          <cell r="AA360" t="b">
            <v>0</v>
          </cell>
        </row>
        <row r="361">
          <cell r="Z361" t="b">
            <v>0</v>
          </cell>
          <cell r="AA361" t="b">
            <v>0</v>
          </cell>
        </row>
        <row r="362">
          <cell r="Z362" t="b">
            <v>0</v>
          </cell>
          <cell r="AA362" t="b">
            <v>0</v>
          </cell>
        </row>
        <row r="363">
          <cell r="Z363" t="b">
            <v>0</v>
          </cell>
          <cell r="AA363" t="b">
            <v>0</v>
          </cell>
        </row>
        <row r="364">
          <cell r="Z364" t="b">
            <v>0</v>
          </cell>
          <cell r="AA364" t="b">
            <v>0</v>
          </cell>
        </row>
        <row r="365">
          <cell r="Z365" t="b">
            <v>0</v>
          </cell>
          <cell r="AA365" t="b">
            <v>0</v>
          </cell>
        </row>
        <row r="366">
          <cell r="Z366" t="b">
            <v>0</v>
          </cell>
          <cell r="AA366" t="b">
            <v>0</v>
          </cell>
        </row>
        <row r="367">
          <cell r="Z367" t="b">
            <v>0</v>
          </cell>
          <cell r="AA367" t="b">
            <v>0</v>
          </cell>
        </row>
        <row r="368">
          <cell r="Z368" t="b">
            <v>0</v>
          </cell>
          <cell r="AA368" t="b">
            <v>0</v>
          </cell>
        </row>
        <row r="369">
          <cell r="Z369" t="b">
            <v>0</v>
          </cell>
          <cell r="AA369" t="b">
            <v>0</v>
          </cell>
        </row>
        <row r="370">
          <cell r="Z370" t="b">
            <v>0</v>
          </cell>
          <cell r="AA370" t="b">
            <v>0</v>
          </cell>
        </row>
        <row r="371">
          <cell r="Z371" t="b">
            <v>0</v>
          </cell>
          <cell r="AA371" t="b">
            <v>0</v>
          </cell>
        </row>
        <row r="372">
          <cell r="Z372" t="b">
            <v>0</v>
          </cell>
          <cell r="AA372" t="b">
            <v>0</v>
          </cell>
        </row>
        <row r="373">
          <cell r="Z373" t="b">
            <v>0</v>
          </cell>
          <cell r="AA373" t="b">
            <v>0</v>
          </cell>
        </row>
        <row r="374">
          <cell r="Z374" t="b">
            <v>0</v>
          </cell>
          <cell r="AA374" t="b">
            <v>0</v>
          </cell>
        </row>
        <row r="375">
          <cell r="Z375" t="b">
            <v>0</v>
          </cell>
          <cell r="AA375" t="b">
            <v>0</v>
          </cell>
        </row>
        <row r="376">
          <cell r="Z376" t="b">
            <v>0</v>
          </cell>
          <cell r="AA376" t="b">
            <v>0</v>
          </cell>
        </row>
        <row r="377">
          <cell r="Z377" t="b">
            <v>0</v>
          </cell>
          <cell r="AA377" t="b">
            <v>0</v>
          </cell>
        </row>
        <row r="378">
          <cell r="Z378" t="b">
            <v>0</v>
          </cell>
          <cell r="AA378" t="b">
            <v>0</v>
          </cell>
        </row>
        <row r="379">
          <cell r="Z379" t="b">
            <v>0</v>
          </cell>
          <cell r="AA379" t="b">
            <v>0</v>
          </cell>
        </row>
        <row r="380">
          <cell r="Z380" t="b">
            <v>0</v>
          </cell>
          <cell r="AA380" t="b">
            <v>0</v>
          </cell>
        </row>
        <row r="381">
          <cell r="Z381" t="b">
            <v>0</v>
          </cell>
          <cell r="AA381" t="b">
            <v>0</v>
          </cell>
        </row>
        <row r="382">
          <cell r="Z382" t="b">
            <v>0</v>
          </cell>
          <cell r="AA382" t="b">
            <v>0</v>
          </cell>
        </row>
        <row r="383">
          <cell r="Z383" t="b">
            <v>0</v>
          </cell>
          <cell r="AA383" t="b">
            <v>0</v>
          </cell>
        </row>
        <row r="384">
          <cell r="Z384" t="b">
            <v>0</v>
          </cell>
          <cell r="AA384" t="b">
            <v>0</v>
          </cell>
        </row>
        <row r="385">
          <cell r="Z385" t="b">
            <v>0</v>
          </cell>
          <cell r="AA385" t="b">
            <v>0</v>
          </cell>
        </row>
        <row r="386">
          <cell r="Z386" t="b">
            <v>0</v>
          </cell>
          <cell r="AA386" t="b">
            <v>0</v>
          </cell>
        </row>
        <row r="387">
          <cell r="Z387" t="b">
            <v>0</v>
          </cell>
          <cell r="AA387" t="b">
            <v>0</v>
          </cell>
        </row>
        <row r="388">
          <cell r="Z388" t="b">
            <v>0</v>
          </cell>
          <cell r="AA388" t="b">
            <v>0</v>
          </cell>
        </row>
        <row r="389">
          <cell r="Z389" t="b">
            <v>0</v>
          </cell>
          <cell r="AA389" t="b">
            <v>0</v>
          </cell>
        </row>
        <row r="390">
          <cell r="Z390" t="b">
            <v>0</v>
          </cell>
          <cell r="AA390" t="b">
            <v>0</v>
          </cell>
        </row>
        <row r="391">
          <cell r="Z391" t="b">
            <v>0</v>
          </cell>
          <cell r="AA391" t="b">
            <v>0</v>
          </cell>
        </row>
        <row r="392">
          <cell r="Z392" t="b">
            <v>0</v>
          </cell>
          <cell r="AA392" t="b">
            <v>0</v>
          </cell>
        </row>
        <row r="393">
          <cell r="Z393" t="b">
            <v>0</v>
          </cell>
          <cell r="AA393" t="b">
            <v>0</v>
          </cell>
        </row>
        <row r="394">
          <cell r="Z394" t="b">
            <v>0</v>
          </cell>
          <cell r="AA394" t="b">
            <v>0</v>
          </cell>
        </row>
        <row r="395">
          <cell r="Z395" t="b">
            <v>0</v>
          </cell>
          <cell r="AA395" t="b">
            <v>0</v>
          </cell>
        </row>
        <row r="396">
          <cell r="Z396" t="b">
            <v>0</v>
          </cell>
          <cell r="AA396" t="b">
            <v>0</v>
          </cell>
        </row>
        <row r="397">
          <cell r="Z397" t="b">
            <v>0</v>
          </cell>
          <cell r="AA397" t="b">
            <v>0</v>
          </cell>
        </row>
        <row r="398">
          <cell r="Z398" t="b">
            <v>0</v>
          </cell>
          <cell r="AA398" t="b">
            <v>0</v>
          </cell>
        </row>
        <row r="399">
          <cell r="Z399" t="b">
            <v>0</v>
          </cell>
          <cell r="AA399" t="b">
            <v>0</v>
          </cell>
        </row>
        <row r="400">
          <cell r="Z400" t="b">
            <v>0</v>
          </cell>
          <cell r="AA400" t="b">
            <v>0</v>
          </cell>
        </row>
        <row r="401">
          <cell r="Z401" t="b">
            <v>0</v>
          </cell>
          <cell r="AA401" t="b">
            <v>0</v>
          </cell>
        </row>
        <row r="402">
          <cell r="Z402" t="b">
            <v>0</v>
          </cell>
          <cell r="AA402" t="b">
            <v>0</v>
          </cell>
        </row>
        <row r="403">
          <cell r="Z403" t="b">
            <v>0</v>
          </cell>
          <cell r="AA403" t="b">
            <v>0</v>
          </cell>
        </row>
        <row r="404">
          <cell r="Z404" t="b">
            <v>0</v>
          </cell>
          <cell r="AA404" t="b">
            <v>0</v>
          </cell>
        </row>
        <row r="405">
          <cell r="Z405" t="b">
            <v>0</v>
          </cell>
          <cell r="AA405" t="b">
            <v>0</v>
          </cell>
        </row>
        <row r="406">
          <cell r="Z406" t="b">
            <v>0</v>
          </cell>
          <cell r="AA406" t="b">
            <v>0</v>
          </cell>
        </row>
        <row r="407">
          <cell r="Z407" t="b">
            <v>0</v>
          </cell>
          <cell r="AA407" t="b">
            <v>0</v>
          </cell>
        </row>
        <row r="408">
          <cell r="Z408" t="b">
            <v>0</v>
          </cell>
          <cell r="AA408" t="b">
            <v>0</v>
          </cell>
        </row>
        <row r="409">
          <cell r="Z409" t="b">
            <v>0</v>
          </cell>
          <cell r="AA409" t="b">
            <v>0</v>
          </cell>
        </row>
        <row r="410">
          <cell r="Z410" t="b">
            <v>0</v>
          </cell>
          <cell r="AA410" t="b">
            <v>0</v>
          </cell>
        </row>
        <row r="411">
          <cell r="Z411" t="b">
            <v>0</v>
          </cell>
          <cell r="AA411" t="b">
            <v>0</v>
          </cell>
        </row>
        <row r="412">
          <cell r="Z412" t="b">
            <v>0</v>
          </cell>
          <cell r="AA412" t="b">
            <v>0</v>
          </cell>
        </row>
        <row r="413">
          <cell r="Z413" t="b">
            <v>0</v>
          </cell>
          <cell r="AA413" t="b">
            <v>0</v>
          </cell>
        </row>
        <row r="414">
          <cell r="Z414" t="b">
            <v>0</v>
          </cell>
          <cell r="AA414" t="b">
            <v>0</v>
          </cell>
        </row>
        <row r="415">
          <cell r="Z415" t="b">
            <v>0</v>
          </cell>
          <cell r="AA415" t="b">
            <v>0</v>
          </cell>
        </row>
        <row r="416">
          <cell r="Z416" t="b">
            <v>0</v>
          </cell>
          <cell r="AA416" t="b">
            <v>0</v>
          </cell>
        </row>
        <row r="417">
          <cell r="Z417" t="b">
            <v>0</v>
          </cell>
          <cell r="AA417" t="b">
            <v>0</v>
          </cell>
        </row>
        <row r="418">
          <cell r="Z418" t="b">
            <v>0</v>
          </cell>
          <cell r="AA418" t="b">
            <v>0</v>
          </cell>
        </row>
        <row r="419">
          <cell r="Z419" t="b">
            <v>0</v>
          </cell>
          <cell r="AA419" t="b">
            <v>0</v>
          </cell>
        </row>
        <row r="420">
          <cell r="Z420" t="b">
            <v>0</v>
          </cell>
          <cell r="AA420" t="b">
            <v>0</v>
          </cell>
        </row>
        <row r="421">
          <cell r="Z421" t="b">
            <v>0</v>
          </cell>
          <cell r="AA421" t="b">
            <v>0</v>
          </cell>
        </row>
        <row r="422">
          <cell r="Z422" t="b">
            <v>0</v>
          </cell>
          <cell r="AA422" t="b">
            <v>0</v>
          </cell>
        </row>
        <row r="423">
          <cell r="Z423" t="b">
            <v>0</v>
          </cell>
          <cell r="AA423" t="b">
            <v>0</v>
          </cell>
        </row>
        <row r="424">
          <cell r="Z424" t="b">
            <v>0</v>
          </cell>
          <cell r="AA424" t="b">
            <v>0</v>
          </cell>
        </row>
        <row r="425">
          <cell r="Z425" t="b">
            <v>0</v>
          </cell>
          <cell r="AA425" t="b">
            <v>0</v>
          </cell>
        </row>
        <row r="426">
          <cell r="Z426" t="b">
            <v>0</v>
          </cell>
          <cell r="AA426" t="b">
            <v>0</v>
          </cell>
        </row>
        <row r="427">
          <cell r="Z427" t="b">
            <v>0</v>
          </cell>
          <cell r="AA427" t="b">
            <v>0</v>
          </cell>
        </row>
        <row r="428">
          <cell r="Z428" t="b">
            <v>0</v>
          </cell>
          <cell r="AA428" t="b">
            <v>0</v>
          </cell>
        </row>
        <row r="429">
          <cell r="Z429" t="b">
            <v>0</v>
          </cell>
          <cell r="AA429" t="b">
            <v>0</v>
          </cell>
        </row>
        <row r="430">
          <cell r="Z430" t="b">
            <v>0</v>
          </cell>
          <cell r="AA430" t="b">
            <v>0</v>
          </cell>
        </row>
        <row r="431">
          <cell r="Z431" t="b">
            <v>0</v>
          </cell>
          <cell r="AA431" t="b">
            <v>0</v>
          </cell>
        </row>
        <row r="432">
          <cell r="Z432" t="b">
            <v>0</v>
          </cell>
          <cell r="AA432" t="b">
            <v>0</v>
          </cell>
        </row>
        <row r="433">
          <cell r="Z433" t="b">
            <v>0</v>
          </cell>
          <cell r="AA433" t="b">
            <v>0</v>
          </cell>
        </row>
        <row r="434">
          <cell r="Z434" t="b">
            <v>0</v>
          </cell>
          <cell r="AA434" t="b">
            <v>0</v>
          </cell>
        </row>
        <row r="435">
          <cell r="Z435" t="b">
            <v>0</v>
          </cell>
          <cell r="AA435" t="b">
            <v>0</v>
          </cell>
        </row>
        <row r="436">
          <cell r="Z436" t="b">
            <v>0</v>
          </cell>
          <cell r="AA436" t="b">
            <v>0</v>
          </cell>
        </row>
        <row r="437">
          <cell r="Z437" t="b">
            <v>0</v>
          </cell>
          <cell r="AA437" t="b">
            <v>0</v>
          </cell>
        </row>
        <row r="438">
          <cell r="Z438" t="b">
            <v>0</v>
          </cell>
          <cell r="AA438" t="b">
            <v>0</v>
          </cell>
        </row>
        <row r="439">
          <cell r="Z439" t="b">
            <v>0</v>
          </cell>
          <cell r="AA439" t="b">
            <v>0</v>
          </cell>
        </row>
        <row r="440">
          <cell r="Z440" t="b">
            <v>0</v>
          </cell>
          <cell r="AA440" t="b">
            <v>0</v>
          </cell>
        </row>
        <row r="441">
          <cell r="Z441" t="b">
            <v>0</v>
          </cell>
          <cell r="AA441" t="b">
            <v>0</v>
          </cell>
        </row>
        <row r="442">
          <cell r="Z442" t="b">
            <v>0</v>
          </cell>
          <cell r="AA442" t="b">
            <v>0</v>
          </cell>
        </row>
        <row r="443">
          <cell r="Z443" t="b">
            <v>0</v>
          </cell>
          <cell r="AA443" t="b">
            <v>0</v>
          </cell>
        </row>
        <row r="444">
          <cell r="Z444" t="b">
            <v>0</v>
          </cell>
          <cell r="AA444" t="b">
            <v>0</v>
          </cell>
        </row>
        <row r="445">
          <cell r="Z445" t="b">
            <v>0</v>
          </cell>
          <cell r="AA445" t="b">
            <v>0</v>
          </cell>
        </row>
        <row r="446">
          <cell r="Z446" t="b">
            <v>0</v>
          </cell>
          <cell r="AA446" t="b">
            <v>0</v>
          </cell>
        </row>
        <row r="447">
          <cell r="Z447" t="b">
            <v>0</v>
          </cell>
          <cell r="AA447" t="b">
            <v>0</v>
          </cell>
        </row>
        <row r="448">
          <cell r="Z448" t="b">
            <v>0</v>
          </cell>
          <cell r="AA448" t="b">
            <v>0</v>
          </cell>
        </row>
        <row r="449">
          <cell r="Z449" t="b">
            <v>0</v>
          </cell>
          <cell r="AA449" t="b">
            <v>0</v>
          </cell>
        </row>
        <row r="450">
          <cell r="Z450" t="b">
            <v>0</v>
          </cell>
          <cell r="AA450" t="b">
            <v>0</v>
          </cell>
        </row>
        <row r="451">
          <cell r="Z451" t="b">
            <v>0</v>
          </cell>
          <cell r="AA451" t="b">
            <v>0</v>
          </cell>
        </row>
        <row r="452">
          <cell r="Z452" t="b">
            <v>0</v>
          </cell>
          <cell r="AA452" t="b">
            <v>0</v>
          </cell>
        </row>
        <row r="453">
          <cell r="Z453" t="b">
            <v>0</v>
          </cell>
          <cell r="AA453" t="b">
            <v>0</v>
          </cell>
        </row>
        <row r="454">
          <cell r="Z454" t="b">
            <v>0</v>
          </cell>
          <cell r="AA454" t="b">
            <v>0</v>
          </cell>
        </row>
        <row r="455">
          <cell r="Z455" t="b">
            <v>0</v>
          </cell>
          <cell r="AA455" t="b">
            <v>0</v>
          </cell>
        </row>
        <row r="456">
          <cell r="Z456" t="b">
            <v>0</v>
          </cell>
          <cell r="AA456" t="b">
            <v>0</v>
          </cell>
        </row>
        <row r="457">
          <cell r="Z457" t="b">
            <v>0</v>
          </cell>
          <cell r="AA457" t="b">
            <v>0</v>
          </cell>
        </row>
        <row r="458">
          <cell r="Z458" t="b">
            <v>0</v>
          </cell>
          <cell r="AA458" t="b">
            <v>0</v>
          </cell>
        </row>
        <row r="459">
          <cell r="Z459" t="b">
            <v>0</v>
          </cell>
          <cell r="AA459" t="b">
            <v>0</v>
          </cell>
        </row>
        <row r="460">
          <cell r="Z460" t="b">
            <v>0</v>
          </cell>
          <cell r="AA460" t="b">
            <v>0</v>
          </cell>
        </row>
        <row r="461">
          <cell r="Z461" t="b">
            <v>0</v>
          </cell>
          <cell r="AA461" t="b">
            <v>0</v>
          </cell>
        </row>
        <row r="462">
          <cell r="Z462" t="b">
            <v>0</v>
          </cell>
          <cell r="AA462" t="b">
            <v>0</v>
          </cell>
        </row>
        <row r="463">
          <cell r="Z463" t="b">
            <v>0</v>
          </cell>
          <cell r="AA463" t="b">
            <v>0</v>
          </cell>
        </row>
        <row r="464">
          <cell r="Z464" t="b">
            <v>0</v>
          </cell>
          <cell r="AA464" t="b">
            <v>0</v>
          </cell>
        </row>
        <row r="465">
          <cell r="Z465" t="b">
            <v>0</v>
          </cell>
          <cell r="AA465" t="b">
            <v>0</v>
          </cell>
        </row>
        <row r="466">
          <cell r="Z466" t="b">
            <v>0</v>
          </cell>
          <cell r="AA466" t="b">
            <v>0</v>
          </cell>
        </row>
        <row r="467">
          <cell r="Z467" t="b">
            <v>0</v>
          </cell>
          <cell r="AA467" t="b">
            <v>0</v>
          </cell>
        </row>
        <row r="468">
          <cell r="Z468" t="b">
            <v>0</v>
          </cell>
          <cell r="AA468" t="b">
            <v>0</v>
          </cell>
        </row>
        <row r="469">
          <cell r="Z469" t="b">
            <v>0</v>
          </cell>
          <cell r="AA469" t="b">
            <v>0</v>
          </cell>
        </row>
        <row r="470">
          <cell r="Z470" t="b">
            <v>0</v>
          </cell>
          <cell r="AA470" t="b">
            <v>0</v>
          </cell>
        </row>
        <row r="471">
          <cell r="Z471" t="b">
            <v>0</v>
          </cell>
          <cell r="AA471" t="b">
            <v>0</v>
          </cell>
        </row>
        <row r="472">
          <cell r="Z472" t="b">
            <v>0</v>
          </cell>
          <cell r="AA472" t="b">
            <v>0</v>
          </cell>
        </row>
        <row r="473">
          <cell r="Z473" t="b">
            <v>0</v>
          </cell>
          <cell r="AA473" t="b">
            <v>0</v>
          </cell>
        </row>
        <row r="474">
          <cell r="Z474" t="b">
            <v>0</v>
          </cell>
          <cell r="AA474" t="b">
            <v>0</v>
          </cell>
        </row>
        <row r="475">
          <cell r="Z475" t="b">
            <v>0</v>
          </cell>
          <cell r="AA475" t="b">
            <v>0</v>
          </cell>
        </row>
        <row r="476">
          <cell r="Z476" t="b">
            <v>0</v>
          </cell>
          <cell r="AA476" t="b">
            <v>0</v>
          </cell>
        </row>
        <row r="477">
          <cell r="Z477" t="b">
            <v>0</v>
          </cell>
          <cell r="AA477" t="b">
            <v>0</v>
          </cell>
        </row>
        <row r="478">
          <cell r="Z478" t="b">
            <v>0</v>
          </cell>
          <cell r="AA478" t="b">
            <v>0</v>
          </cell>
        </row>
        <row r="479">
          <cell r="Z479" t="b">
            <v>0</v>
          </cell>
          <cell r="AA479" t="b">
            <v>0</v>
          </cell>
        </row>
        <row r="480">
          <cell r="Z480" t="b">
            <v>0</v>
          </cell>
          <cell r="AA480" t="b">
            <v>0</v>
          </cell>
        </row>
        <row r="481">
          <cell r="Z481" t="b">
            <v>0</v>
          </cell>
          <cell r="AA481" t="b">
            <v>0</v>
          </cell>
        </row>
        <row r="482">
          <cell r="Z482" t="b">
            <v>0</v>
          </cell>
          <cell r="AA482" t="b">
            <v>0</v>
          </cell>
        </row>
        <row r="483">
          <cell r="Z483" t="b">
            <v>0</v>
          </cell>
          <cell r="AA483" t="b">
            <v>0</v>
          </cell>
        </row>
        <row r="484">
          <cell r="Z484" t="b">
            <v>0</v>
          </cell>
          <cell r="AA484" t="b">
            <v>0</v>
          </cell>
        </row>
        <row r="485">
          <cell r="Z485" t="b">
            <v>0</v>
          </cell>
          <cell r="AA485" t="b">
            <v>0</v>
          </cell>
        </row>
        <row r="486">
          <cell r="Z486" t="b">
            <v>0</v>
          </cell>
          <cell r="AA486" t="b">
            <v>0</v>
          </cell>
        </row>
        <row r="487">
          <cell r="Z487" t="b">
            <v>0</v>
          </cell>
          <cell r="AA487" t="b">
            <v>0</v>
          </cell>
        </row>
        <row r="488">
          <cell r="Z488" t="b">
            <v>0</v>
          </cell>
          <cell r="AA488" t="b">
            <v>0</v>
          </cell>
        </row>
        <row r="489">
          <cell r="Z489" t="b">
            <v>0</v>
          </cell>
          <cell r="AA489" t="b">
            <v>0</v>
          </cell>
        </row>
        <row r="490">
          <cell r="Z490" t="b">
            <v>0</v>
          </cell>
          <cell r="AA490" t="b">
            <v>0</v>
          </cell>
        </row>
        <row r="491">
          <cell r="Z491" t="b">
            <v>0</v>
          </cell>
          <cell r="AA491" t="b">
            <v>0</v>
          </cell>
        </row>
        <row r="492">
          <cell r="Z492" t="b">
            <v>0</v>
          </cell>
          <cell r="AA492" t="b">
            <v>0</v>
          </cell>
        </row>
        <row r="493">
          <cell r="Z493" t="b">
            <v>0</v>
          </cell>
          <cell r="AA493" t="b">
            <v>0</v>
          </cell>
        </row>
        <row r="494">
          <cell r="Z494" t="b">
            <v>0</v>
          </cell>
          <cell r="AA494" t="b">
            <v>0</v>
          </cell>
        </row>
        <row r="495">
          <cell r="Z495" t="b">
            <v>0</v>
          </cell>
          <cell r="AA495" t="b">
            <v>0</v>
          </cell>
        </row>
        <row r="496">
          <cell r="Z496" t="b">
            <v>0</v>
          </cell>
          <cell r="AA496" t="b">
            <v>0</v>
          </cell>
        </row>
        <row r="497">
          <cell r="Z497" t="b">
            <v>0</v>
          </cell>
          <cell r="AA497" t="b">
            <v>0</v>
          </cell>
        </row>
        <row r="498">
          <cell r="Z498" t="b">
            <v>0</v>
          </cell>
          <cell r="AA498" t="b">
            <v>0</v>
          </cell>
        </row>
        <row r="499">
          <cell r="Z499" t="b">
            <v>0</v>
          </cell>
          <cell r="AA499" t="b">
            <v>0</v>
          </cell>
        </row>
        <row r="500">
          <cell r="Z500" t="b">
            <v>0</v>
          </cell>
          <cell r="AA500" t="b">
            <v>0</v>
          </cell>
        </row>
        <row r="501">
          <cell r="Z501" t="b">
            <v>0</v>
          </cell>
          <cell r="AA501" t="b">
            <v>0</v>
          </cell>
        </row>
        <row r="502">
          <cell r="Z502" t="b">
            <v>0</v>
          </cell>
          <cell r="AA502" t="b">
            <v>0</v>
          </cell>
        </row>
        <row r="503">
          <cell r="Z503" t="b">
            <v>0</v>
          </cell>
          <cell r="AA503" t="b">
            <v>0</v>
          </cell>
        </row>
        <row r="504">
          <cell r="Z504" t="b">
            <v>0</v>
          </cell>
          <cell r="AA504" t="b">
            <v>0</v>
          </cell>
        </row>
        <row r="505">
          <cell r="Z505" t="b">
            <v>0</v>
          </cell>
          <cell r="AA505" t="b">
            <v>0</v>
          </cell>
        </row>
        <row r="506">
          <cell r="Z506" t="b">
            <v>0</v>
          </cell>
          <cell r="AA506" t="b">
            <v>0</v>
          </cell>
        </row>
        <row r="507">
          <cell r="Z507" t="b">
            <v>0</v>
          </cell>
          <cell r="AA507" t="b">
            <v>0</v>
          </cell>
        </row>
        <row r="508">
          <cell r="Z508" t="b">
            <v>0</v>
          </cell>
          <cell r="AA508" t="b">
            <v>0</v>
          </cell>
        </row>
        <row r="509">
          <cell r="Z509" t="b">
            <v>0</v>
          </cell>
          <cell r="AA509" t="b">
            <v>0</v>
          </cell>
        </row>
        <row r="510">
          <cell r="Z510" t="b">
            <v>0</v>
          </cell>
          <cell r="AA510" t="b">
            <v>0</v>
          </cell>
        </row>
        <row r="511">
          <cell r="Z511" t="b">
            <v>0</v>
          </cell>
          <cell r="AA511" t="b">
            <v>0</v>
          </cell>
        </row>
        <row r="512">
          <cell r="Z512" t="b">
            <v>0</v>
          </cell>
          <cell r="AA512" t="b">
            <v>0</v>
          </cell>
        </row>
        <row r="513">
          <cell r="Z513" t="b">
            <v>0</v>
          </cell>
          <cell r="AA513" t="b">
            <v>0</v>
          </cell>
        </row>
        <row r="514">
          <cell r="Z514" t="b">
            <v>0</v>
          </cell>
          <cell r="AA514" t="b">
            <v>0</v>
          </cell>
        </row>
        <row r="515">
          <cell r="Z515" t="b">
            <v>0</v>
          </cell>
          <cell r="AA515" t="b">
            <v>0</v>
          </cell>
        </row>
        <row r="516">
          <cell r="Z516" t="b">
            <v>0</v>
          </cell>
          <cell r="AA516" t="b">
            <v>0</v>
          </cell>
        </row>
        <row r="517">
          <cell r="Z517" t="b">
            <v>0</v>
          </cell>
          <cell r="AA517" t="b">
            <v>0</v>
          </cell>
        </row>
        <row r="518">
          <cell r="Z518" t="b">
            <v>0</v>
          </cell>
          <cell r="AA518" t="b">
            <v>0</v>
          </cell>
        </row>
        <row r="519">
          <cell r="Z519" t="b">
            <v>0</v>
          </cell>
          <cell r="AA519" t="b">
            <v>0</v>
          </cell>
        </row>
        <row r="520">
          <cell r="Z520" t="b">
            <v>0</v>
          </cell>
          <cell r="AA520" t="b">
            <v>0</v>
          </cell>
        </row>
        <row r="521">
          <cell r="Z521" t="b">
            <v>0</v>
          </cell>
          <cell r="AA521" t="b">
            <v>0</v>
          </cell>
        </row>
        <row r="522">
          <cell r="Z522" t="b">
            <v>0</v>
          </cell>
          <cell r="AA522" t="b">
            <v>0</v>
          </cell>
        </row>
        <row r="523">
          <cell r="Z523" t="b">
            <v>0</v>
          </cell>
          <cell r="AA523" t="b">
            <v>0</v>
          </cell>
        </row>
        <row r="524">
          <cell r="Z524" t="b">
            <v>0</v>
          </cell>
          <cell r="AA524" t="b">
            <v>0</v>
          </cell>
        </row>
        <row r="525">
          <cell r="Z525" t="b">
            <v>0</v>
          </cell>
          <cell r="AA525" t="b">
            <v>0</v>
          </cell>
        </row>
        <row r="526">
          <cell r="Z526" t="b">
            <v>0</v>
          </cell>
          <cell r="AA526" t="b">
            <v>0</v>
          </cell>
        </row>
        <row r="527">
          <cell r="Z527" t="b">
            <v>0</v>
          </cell>
          <cell r="AA527" t="b">
            <v>0</v>
          </cell>
        </row>
        <row r="528">
          <cell r="Z528" t="b">
            <v>0</v>
          </cell>
          <cell r="AA528" t="b">
            <v>0</v>
          </cell>
        </row>
        <row r="529">
          <cell r="Z529" t="b">
            <v>0</v>
          </cell>
          <cell r="AA529" t="b">
            <v>0</v>
          </cell>
        </row>
        <row r="530">
          <cell r="Z530" t="b">
            <v>0</v>
          </cell>
          <cell r="AA530" t="b">
            <v>0</v>
          </cell>
        </row>
        <row r="531">
          <cell r="Z531" t="b">
            <v>0</v>
          </cell>
          <cell r="AA531" t="b">
            <v>0</v>
          </cell>
        </row>
        <row r="532">
          <cell r="Z532" t="b">
            <v>0</v>
          </cell>
          <cell r="AA532" t="b">
            <v>0</v>
          </cell>
        </row>
        <row r="533">
          <cell r="Z533" t="b">
            <v>0</v>
          </cell>
          <cell r="AA533" t="b">
            <v>0</v>
          </cell>
        </row>
        <row r="534">
          <cell r="Z534" t="b">
            <v>0</v>
          </cell>
          <cell r="AA534" t="b">
            <v>0</v>
          </cell>
        </row>
        <row r="535">
          <cell r="Z535" t="b">
            <v>0</v>
          </cell>
          <cell r="AA535" t="b">
            <v>0</v>
          </cell>
        </row>
        <row r="536">
          <cell r="Z536" t="b">
            <v>0</v>
          </cell>
          <cell r="AA536" t="b">
            <v>0</v>
          </cell>
        </row>
        <row r="537">
          <cell r="Z537" t="b">
            <v>0</v>
          </cell>
          <cell r="AA537" t="b">
            <v>0</v>
          </cell>
        </row>
        <row r="538">
          <cell r="Z538" t="b">
            <v>0</v>
          </cell>
          <cell r="AA538" t="b">
            <v>0</v>
          </cell>
        </row>
        <row r="539">
          <cell r="Z539" t="b">
            <v>0</v>
          </cell>
          <cell r="AA539" t="b">
            <v>0</v>
          </cell>
        </row>
        <row r="540">
          <cell r="Z540" t="b">
            <v>0</v>
          </cell>
          <cell r="AA540" t="b">
            <v>0</v>
          </cell>
        </row>
        <row r="541">
          <cell r="Z541" t="b">
            <v>0</v>
          </cell>
          <cell r="AA541" t="b">
            <v>0</v>
          </cell>
        </row>
        <row r="542">
          <cell r="Z542" t="b">
            <v>0</v>
          </cell>
          <cell r="AA542" t="b">
            <v>0</v>
          </cell>
        </row>
        <row r="543">
          <cell r="Z543" t="b">
            <v>0</v>
          </cell>
          <cell r="AA543" t="b">
            <v>0</v>
          </cell>
        </row>
        <row r="544">
          <cell r="Z544" t="b">
            <v>0</v>
          </cell>
          <cell r="AA544" t="b">
            <v>0</v>
          </cell>
        </row>
        <row r="545">
          <cell r="Z545" t="b">
            <v>0</v>
          </cell>
          <cell r="AA545" t="b">
            <v>0</v>
          </cell>
        </row>
        <row r="546">
          <cell r="Z546" t="b">
            <v>0</v>
          </cell>
          <cell r="AA546" t="b">
            <v>0</v>
          </cell>
        </row>
        <row r="547">
          <cell r="Z547" t="b">
            <v>0</v>
          </cell>
          <cell r="AA547" t="b">
            <v>0</v>
          </cell>
        </row>
        <row r="548">
          <cell r="Z548" t="b">
            <v>0</v>
          </cell>
          <cell r="AA548" t="b">
            <v>0</v>
          </cell>
        </row>
        <row r="549">
          <cell r="Z549" t="b">
            <v>0</v>
          </cell>
          <cell r="AA549" t="b">
            <v>0</v>
          </cell>
        </row>
        <row r="550">
          <cell r="Z550" t="b">
            <v>0</v>
          </cell>
          <cell r="AA550" t="b">
            <v>0</v>
          </cell>
        </row>
        <row r="551">
          <cell r="Z551" t="b">
            <v>0</v>
          </cell>
          <cell r="AA551" t="b">
            <v>0</v>
          </cell>
        </row>
        <row r="552">
          <cell r="Z552" t="b">
            <v>0</v>
          </cell>
          <cell r="AA552" t="b">
            <v>0</v>
          </cell>
        </row>
        <row r="553">
          <cell r="Z553" t="b">
            <v>0</v>
          </cell>
          <cell r="AA553" t="b">
            <v>0</v>
          </cell>
        </row>
        <row r="554">
          <cell r="Z554" t="b">
            <v>0</v>
          </cell>
          <cell r="AA554" t="b">
            <v>0</v>
          </cell>
        </row>
        <row r="555">
          <cell r="Z555" t="b">
            <v>0</v>
          </cell>
          <cell r="AA555" t="b">
            <v>0</v>
          </cell>
        </row>
        <row r="556">
          <cell r="Z556" t="b">
            <v>0</v>
          </cell>
          <cell r="AA556" t="b">
            <v>0</v>
          </cell>
        </row>
        <row r="557">
          <cell r="Z557" t="b">
            <v>0</v>
          </cell>
          <cell r="AA557" t="b">
            <v>0</v>
          </cell>
        </row>
        <row r="558">
          <cell r="Z558" t="b">
            <v>0</v>
          </cell>
          <cell r="AA558" t="b">
            <v>0</v>
          </cell>
        </row>
        <row r="559">
          <cell r="Z559" t="b">
            <v>0</v>
          </cell>
          <cell r="AA559" t="b">
            <v>0</v>
          </cell>
        </row>
        <row r="560">
          <cell r="Z560" t="b">
            <v>0</v>
          </cell>
          <cell r="AA560" t="b">
            <v>0</v>
          </cell>
        </row>
        <row r="561">
          <cell r="Z561" t="b">
            <v>0</v>
          </cell>
          <cell r="AA561" t="b">
            <v>0</v>
          </cell>
        </row>
        <row r="562">
          <cell r="Z562" t="b">
            <v>0</v>
          </cell>
          <cell r="AA562" t="b">
            <v>0</v>
          </cell>
        </row>
        <row r="563">
          <cell r="Z563" t="b">
            <v>0</v>
          </cell>
          <cell r="AA563" t="b">
            <v>0</v>
          </cell>
        </row>
        <row r="564">
          <cell r="Z564" t="b">
            <v>0</v>
          </cell>
          <cell r="AA564" t="b">
            <v>0</v>
          </cell>
        </row>
        <row r="565">
          <cell r="Z565" t="b">
            <v>0</v>
          </cell>
          <cell r="AA565" t="b">
            <v>0</v>
          </cell>
        </row>
        <row r="566">
          <cell r="Z566" t="b">
            <v>0</v>
          </cell>
          <cell r="AA566" t="b">
            <v>0</v>
          </cell>
        </row>
        <row r="567">
          <cell r="Z567" t="b">
            <v>0</v>
          </cell>
          <cell r="AA567" t="b">
            <v>0</v>
          </cell>
        </row>
        <row r="568">
          <cell r="Z568" t="b">
            <v>0</v>
          </cell>
          <cell r="AA568" t="b">
            <v>0</v>
          </cell>
        </row>
        <row r="569">
          <cell r="Z569" t="b">
            <v>0</v>
          </cell>
          <cell r="AA569" t="b">
            <v>0</v>
          </cell>
        </row>
        <row r="570">
          <cell r="Z570" t="b">
            <v>0</v>
          </cell>
          <cell r="AA570" t="b">
            <v>0</v>
          </cell>
        </row>
        <row r="571">
          <cell r="Z571" t="b">
            <v>0</v>
          </cell>
          <cell r="AA571" t="b">
            <v>0</v>
          </cell>
        </row>
        <row r="572">
          <cell r="Z572" t="b">
            <v>0</v>
          </cell>
          <cell r="AA572" t="b">
            <v>0</v>
          </cell>
        </row>
        <row r="573">
          <cell r="Z573" t="b">
            <v>0</v>
          </cell>
          <cell r="AA573" t="b">
            <v>0</v>
          </cell>
        </row>
        <row r="574">
          <cell r="Z574" t="b">
            <v>0</v>
          </cell>
          <cell r="AA574" t="b">
            <v>0</v>
          </cell>
        </row>
        <row r="575">
          <cell r="Z575" t="b">
            <v>0</v>
          </cell>
          <cell r="AA575" t="b">
            <v>0</v>
          </cell>
        </row>
        <row r="576">
          <cell r="Z576" t="b">
            <v>0</v>
          </cell>
          <cell r="AA576" t="b">
            <v>0</v>
          </cell>
        </row>
        <row r="577">
          <cell r="Z577" t="b">
            <v>0</v>
          </cell>
          <cell r="AA577" t="b">
            <v>0</v>
          </cell>
        </row>
        <row r="578">
          <cell r="Z578" t="b">
            <v>0</v>
          </cell>
          <cell r="AA578" t="b">
            <v>0</v>
          </cell>
        </row>
        <row r="579">
          <cell r="Z579" t="b">
            <v>0</v>
          </cell>
          <cell r="AA579" t="b">
            <v>0</v>
          </cell>
        </row>
        <row r="580">
          <cell r="Z580" t="b">
            <v>0</v>
          </cell>
          <cell r="AA580" t="b">
            <v>0</v>
          </cell>
        </row>
        <row r="581">
          <cell r="Z581" t="b">
            <v>0</v>
          </cell>
          <cell r="AA581" t="b">
            <v>0</v>
          </cell>
        </row>
        <row r="582">
          <cell r="Z582" t="b">
            <v>0</v>
          </cell>
          <cell r="AA582" t="b">
            <v>0</v>
          </cell>
        </row>
        <row r="583">
          <cell r="Z583" t="b">
            <v>0</v>
          </cell>
          <cell r="AA583" t="b">
            <v>0</v>
          </cell>
        </row>
        <row r="584">
          <cell r="Z584" t="b">
            <v>0</v>
          </cell>
          <cell r="AA584" t="b">
            <v>0</v>
          </cell>
        </row>
        <row r="585">
          <cell r="Z585" t="b">
            <v>0</v>
          </cell>
          <cell r="AA585" t="b">
            <v>0</v>
          </cell>
        </row>
        <row r="586">
          <cell r="Z586" t="b">
            <v>0</v>
          </cell>
          <cell r="AA586" t="b">
            <v>0</v>
          </cell>
        </row>
        <row r="587">
          <cell r="Z587" t="b">
            <v>0</v>
          </cell>
          <cell r="AA587" t="b">
            <v>0</v>
          </cell>
        </row>
        <row r="588">
          <cell r="Z588" t="b">
            <v>0</v>
          </cell>
          <cell r="AA588" t="b">
            <v>0</v>
          </cell>
        </row>
        <row r="589">
          <cell r="Z589" t="b">
            <v>0</v>
          </cell>
          <cell r="AA589" t="b">
            <v>0</v>
          </cell>
        </row>
        <row r="590">
          <cell r="Z590" t="b">
            <v>0</v>
          </cell>
          <cell r="AA590" t="b">
            <v>0</v>
          </cell>
        </row>
        <row r="591">
          <cell r="Z591" t="b">
            <v>0</v>
          </cell>
          <cell r="AA591" t="b">
            <v>0</v>
          </cell>
        </row>
        <row r="592">
          <cell r="Z592" t="b">
            <v>0</v>
          </cell>
          <cell r="AA592" t="b">
            <v>0</v>
          </cell>
        </row>
        <row r="593">
          <cell r="Z593" t="b">
            <v>0</v>
          </cell>
          <cell r="AA593" t="b">
            <v>0</v>
          </cell>
        </row>
        <row r="594">
          <cell r="Z594" t="b">
            <v>0</v>
          </cell>
          <cell r="AA594" t="b">
            <v>0</v>
          </cell>
        </row>
        <row r="595">
          <cell r="Z595" t="b">
            <v>0</v>
          </cell>
          <cell r="AA595" t="b">
            <v>0</v>
          </cell>
        </row>
        <row r="596">
          <cell r="Z596" t="b">
            <v>0</v>
          </cell>
          <cell r="AA596" t="b">
            <v>0</v>
          </cell>
        </row>
        <row r="597">
          <cell r="Z597" t="b">
            <v>0</v>
          </cell>
          <cell r="AA597" t="b">
            <v>0</v>
          </cell>
        </row>
        <row r="598">
          <cell r="Z598" t="b">
            <v>0</v>
          </cell>
          <cell r="AA598" t="b">
            <v>0</v>
          </cell>
        </row>
        <row r="599">
          <cell r="Z599" t="b">
            <v>0</v>
          </cell>
          <cell r="AA599" t="b">
            <v>0</v>
          </cell>
        </row>
        <row r="600">
          <cell r="Z600" t="b">
            <v>0</v>
          </cell>
          <cell r="AA600" t="b">
            <v>0</v>
          </cell>
        </row>
        <row r="601">
          <cell r="Z601" t="b">
            <v>0</v>
          </cell>
          <cell r="AA601" t="b">
            <v>0</v>
          </cell>
        </row>
        <row r="602">
          <cell r="Z602" t="b">
            <v>0</v>
          </cell>
          <cell r="AA602" t="b">
            <v>0</v>
          </cell>
        </row>
        <row r="603">
          <cell r="Z603" t="b">
            <v>0</v>
          </cell>
          <cell r="AA603" t="b">
            <v>0</v>
          </cell>
        </row>
        <row r="604">
          <cell r="Z604" t="b">
            <v>0</v>
          </cell>
          <cell r="AA604" t="b">
            <v>0</v>
          </cell>
        </row>
        <row r="605">
          <cell r="Z605" t="b">
            <v>0</v>
          </cell>
          <cell r="AA605" t="b">
            <v>0</v>
          </cell>
        </row>
        <row r="606">
          <cell r="Z606" t="b">
            <v>0</v>
          </cell>
          <cell r="AA606" t="b">
            <v>0</v>
          </cell>
        </row>
        <row r="607">
          <cell r="Z607" t="b">
            <v>0</v>
          </cell>
          <cell r="AA607" t="b">
            <v>0</v>
          </cell>
        </row>
        <row r="608">
          <cell r="Z608" t="b">
            <v>0</v>
          </cell>
          <cell r="AA608" t="b">
            <v>0</v>
          </cell>
        </row>
        <row r="609">
          <cell r="Z609" t="b">
            <v>0</v>
          </cell>
          <cell r="AA609" t="b">
            <v>0</v>
          </cell>
        </row>
        <row r="610">
          <cell r="Z610" t="b">
            <v>0</v>
          </cell>
          <cell r="AA610" t="b">
            <v>0</v>
          </cell>
        </row>
        <row r="611">
          <cell r="Z611" t="b">
            <v>0</v>
          </cell>
          <cell r="AA611" t="b">
            <v>0</v>
          </cell>
        </row>
        <row r="612">
          <cell r="Z612" t="b">
            <v>0</v>
          </cell>
          <cell r="AA612" t="b">
            <v>0</v>
          </cell>
        </row>
        <row r="613">
          <cell r="Z613" t="b">
            <v>0</v>
          </cell>
          <cell r="AA613" t="b">
            <v>0</v>
          </cell>
        </row>
        <row r="614">
          <cell r="Z614" t="b">
            <v>0</v>
          </cell>
          <cell r="AA614" t="b">
            <v>0</v>
          </cell>
        </row>
        <row r="615">
          <cell r="Z615" t="b">
            <v>0</v>
          </cell>
          <cell r="AA615" t="b">
            <v>0</v>
          </cell>
        </row>
        <row r="616">
          <cell r="Z616" t="b">
            <v>0</v>
          </cell>
          <cell r="AA616" t="b">
            <v>0</v>
          </cell>
        </row>
        <row r="617">
          <cell r="Z617" t="b">
            <v>0</v>
          </cell>
          <cell r="AA617" t="b">
            <v>0</v>
          </cell>
        </row>
        <row r="618">
          <cell r="Z618" t="b">
            <v>0</v>
          </cell>
          <cell r="AA618" t="b">
            <v>0</v>
          </cell>
        </row>
        <row r="619">
          <cell r="Z619" t="b">
            <v>0</v>
          </cell>
          <cell r="AA619" t="b">
            <v>0</v>
          </cell>
        </row>
        <row r="620">
          <cell r="Z620" t="b">
            <v>0</v>
          </cell>
          <cell r="AA620" t="b">
            <v>0</v>
          </cell>
        </row>
        <row r="621">
          <cell r="Z621" t="b">
            <v>0</v>
          </cell>
          <cell r="AA621" t="b">
            <v>0</v>
          </cell>
        </row>
        <row r="622">
          <cell r="Z622" t="b">
            <v>0</v>
          </cell>
          <cell r="AA622" t="b">
            <v>0</v>
          </cell>
        </row>
        <row r="623">
          <cell r="Z623" t="b">
            <v>0</v>
          </cell>
          <cell r="AA623" t="b">
            <v>0</v>
          </cell>
        </row>
        <row r="624">
          <cell r="Z624" t="b">
            <v>0</v>
          </cell>
          <cell r="AA624" t="b">
            <v>0</v>
          </cell>
        </row>
        <row r="625">
          <cell r="Z625" t="b">
            <v>0</v>
          </cell>
          <cell r="AA625" t="b">
            <v>0</v>
          </cell>
        </row>
        <row r="626">
          <cell r="Z626" t="b">
            <v>0</v>
          </cell>
          <cell r="AA626" t="b">
            <v>0</v>
          </cell>
        </row>
        <row r="627">
          <cell r="Z627" t="b">
            <v>0</v>
          </cell>
          <cell r="AA627" t="b">
            <v>0</v>
          </cell>
        </row>
        <row r="628">
          <cell r="Z628" t="b">
            <v>0</v>
          </cell>
          <cell r="AA628" t="b">
            <v>0</v>
          </cell>
        </row>
        <row r="629">
          <cell r="Z629" t="b">
            <v>0</v>
          </cell>
          <cell r="AA629" t="b">
            <v>0</v>
          </cell>
        </row>
        <row r="630">
          <cell r="Z630" t="b">
            <v>0</v>
          </cell>
          <cell r="AA630" t="b">
            <v>0</v>
          </cell>
        </row>
        <row r="631">
          <cell r="Z631" t="b">
            <v>0</v>
          </cell>
          <cell r="AA631" t="b">
            <v>0</v>
          </cell>
        </row>
        <row r="632">
          <cell r="Z632" t="b">
            <v>0</v>
          </cell>
          <cell r="AA632" t="b">
            <v>0</v>
          </cell>
        </row>
        <row r="633">
          <cell r="Z633" t="b">
            <v>0</v>
          </cell>
          <cell r="AA633" t="b">
            <v>0</v>
          </cell>
        </row>
        <row r="634">
          <cell r="Z634" t="b">
            <v>0</v>
          </cell>
          <cell r="AA634" t="b">
            <v>0</v>
          </cell>
        </row>
        <row r="635">
          <cell r="Z635" t="b">
            <v>0</v>
          </cell>
          <cell r="AA635" t="b">
            <v>0</v>
          </cell>
        </row>
        <row r="636">
          <cell r="Z636" t="b">
            <v>0</v>
          </cell>
          <cell r="AA636" t="b">
            <v>0</v>
          </cell>
        </row>
        <row r="637">
          <cell r="Z637" t="b">
            <v>0</v>
          </cell>
          <cell r="AA637" t="b">
            <v>0</v>
          </cell>
        </row>
        <row r="638">
          <cell r="Z638" t="b">
            <v>0</v>
          </cell>
          <cell r="AA638" t="b">
            <v>0</v>
          </cell>
        </row>
        <row r="639">
          <cell r="Z639" t="b">
            <v>0</v>
          </cell>
          <cell r="AA639" t="b">
            <v>0</v>
          </cell>
        </row>
        <row r="640">
          <cell r="Z640" t="b">
            <v>0</v>
          </cell>
          <cell r="AA640" t="b">
            <v>0</v>
          </cell>
        </row>
        <row r="641">
          <cell r="Z641" t="b">
            <v>0</v>
          </cell>
          <cell r="AA641" t="b">
            <v>0</v>
          </cell>
        </row>
        <row r="642">
          <cell r="Z642" t="b">
            <v>0</v>
          </cell>
          <cell r="AA642" t="b">
            <v>0</v>
          </cell>
        </row>
        <row r="643">
          <cell r="Z643" t="b">
            <v>0</v>
          </cell>
          <cell r="AA643" t="b">
            <v>0</v>
          </cell>
        </row>
        <row r="644">
          <cell r="Z644" t="b">
            <v>0</v>
          </cell>
          <cell r="AA644" t="b">
            <v>0</v>
          </cell>
        </row>
        <row r="645">
          <cell r="Z645" t="b">
            <v>0</v>
          </cell>
          <cell r="AA645" t="b">
            <v>0</v>
          </cell>
        </row>
        <row r="646">
          <cell r="Z646" t="b">
            <v>0</v>
          </cell>
          <cell r="AA646" t="b">
            <v>0</v>
          </cell>
        </row>
        <row r="647">
          <cell r="Z647" t="b">
            <v>0</v>
          </cell>
          <cell r="AA647" t="b">
            <v>0</v>
          </cell>
        </row>
        <row r="648">
          <cell r="Z648" t="b">
            <v>0</v>
          </cell>
          <cell r="AA648" t="b">
            <v>0</v>
          </cell>
        </row>
        <row r="649">
          <cell r="Z649" t="b">
            <v>0</v>
          </cell>
          <cell r="AA649" t="b">
            <v>0</v>
          </cell>
        </row>
        <row r="650">
          <cell r="Z650" t="b">
            <v>0</v>
          </cell>
          <cell r="AA650" t="b">
            <v>0</v>
          </cell>
        </row>
        <row r="651">
          <cell r="Z651" t="b">
            <v>0</v>
          </cell>
          <cell r="AA651" t="b">
            <v>0</v>
          </cell>
        </row>
        <row r="652">
          <cell r="Z652" t="b">
            <v>0</v>
          </cell>
          <cell r="AA652" t="b">
            <v>0</v>
          </cell>
        </row>
        <row r="653">
          <cell r="Z653" t="b">
            <v>0</v>
          </cell>
          <cell r="AA653" t="b">
            <v>0</v>
          </cell>
        </row>
        <row r="654">
          <cell r="Z654" t="b">
            <v>0</v>
          </cell>
          <cell r="AA654" t="b">
            <v>0</v>
          </cell>
        </row>
        <row r="655">
          <cell r="Z655" t="b">
            <v>0</v>
          </cell>
          <cell r="AA655" t="b">
            <v>0</v>
          </cell>
        </row>
        <row r="656">
          <cell r="Z656" t="b">
            <v>0</v>
          </cell>
          <cell r="AA656" t="b">
            <v>0</v>
          </cell>
        </row>
        <row r="657">
          <cell r="Z657" t="b">
            <v>0</v>
          </cell>
          <cell r="AA657" t="b">
            <v>0</v>
          </cell>
        </row>
        <row r="658">
          <cell r="Z658" t="b">
            <v>0</v>
          </cell>
          <cell r="AA658" t="b">
            <v>0</v>
          </cell>
        </row>
        <row r="659">
          <cell r="Z659" t="b">
            <v>0</v>
          </cell>
          <cell r="AA659" t="b">
            <v>0</v>
          </cell>
        </row>
        <row r="660">
          <cell r="Z660" t="b">
            <v>0</v>
          </cell>
          <cell r="AA660" t="b">
            <v>0</v>
          </cell>
        </row>
        <row r="661">
          <cell r="Z661" t="b">
            <v>0</v>
          </cell>
          <cell r="AA661" t="b">
            <v>0</v>
          </cell>
        </row>
        <row r="662">
          <cell r="Z662" t="b">
            <v>0</v>
          </cell>
          <cell r="AA662" t="b">
            <v>0</v>
          </cell>
        </row>
        <row r="663">
          <cell r="Z663" t="b">
            <v>0</v>
          </cell>
          <cell r="AA663" t="b">
            <v>0</v>
          </cell>
        </row>
        <row r="664">
          <cell r="Z664" t="b">
            <v>0</v>
          </cell>
          <cell r="AA664" t="b">
            <v>0</v>
          </cell>
        </row>
        <row r="665">
          <cell r="Z665" t="b">
            <v>0</v>
          </cell>
          <cell r="AA665" t="b">
            <v>0</v>
          </cell>
        </row>
        <row r="666">
          <cell r="Z666" t="b">
            <v>0</v>
          </cell>
          <cell r="AA666" t="b">
            <v>0</v>
          </cell>
        </row>
        <row r="667">
          <cell r="Z667" t="b">
            <v>0</v>
          </cell>
          <cell r="AA667" t="b">
            <v>0</v>
          </cell>
        </row>
        <row r="668">
          <cell r="Z668" t="b">
            <v>0</v>
          </cell>
          <cell r="AA668" t="b">
            <v>0</v>
          </cell>
        </row>
        <row r="669">
          <cell r="Z669" t="b">
            <v>0</v>
          </cell>
          <cell r="AA669" t="b">
            <v>0</v>
          </cell>
        </row>
        <row r="670">
          <cell r="Z670" t="b">
            <v>0</v>
          </cell>
          <cell r="AA670" t="b">
            <v>0</v>
          </cell>
        </row>
        <row r="671">
          <cell r="Z671" t="b">
            <v>0</v>
          </cell>
          <cell r="AA671" t="b">
            <v>0</v>
          </cell>
        </row>
        <row r="672">
          <cell r="Z672" t="b">
            <v>0</v>
          </cell>
          <cell r="AA672" t="b">
            <v>0</v>
          </cell>
        </row>
        <row r="673">
          <cell r="Z673" t="b">
            <v>0</v>
          </cell>
          <cell r="AA673" t="b">
            <v>0</v>
          </cell>
        </row>
        <row r="674">
          <cell r="Z674" t="b">
            <v>0</v>
          </cell>
          <cell r="AA674" t="b">
            <v>0</v>
          </cell>
        </row>
        <row r="675">
          <cell r="Z675" t="b">
            <v>0</v>
          </cell>
          <cell r="AA675" t="b">
            <v>0</v>
          </cell>
        </row>
        <row r="676">
          <cell r="Z676" t="b">
            <v>0</v>
          </cell>
          <cell r="AA676" t="b">
            <v>0</v>
          </cell>
        </row>
        <row r="677">
          <cell r="Z677" t="b">
            <v>0</v>
          </cell>
          <cell r="AA677" t="b">
            <v>0</v>
          </cell>
        </row>
        <row r="678">
          <cell r="Z678" t="b">
            <v>0</v>
          </cell>
          <cell r="AA678" t="b">
            <v>0</v>
          </cell>
        </row>
        <row r="679">
          <cell r="Z679" t="b">
            <v>0</v>
          </cell>
          <cell r="AA679" t="b">
            <v>0</v>
          </cell>
        </row>
        <row r="680">
          <cell r="Z680" t="b">
            <v>0</v>
          </cell>
          <cell r="AA680" t="b">
            <v>0</v>
          </cell>
        </row>
        <row r="681">
          <cell r="Z681" t="b">
            <v>0</v>
          </cell>
          <cell r="AA681" t="b">
            <v>0</v>
          </cell>
        </row>
        <row r="682">
          <cell r="Z682" t="b">
            <v>0</v>
          </cell>
          <cell r="AA682" t="b">
            <v>0</v>
          </cell>
        </row>
        <row r="683">
          <cell r="Z683" t="b">
            <v>0</v>
          </cell>
          <cell r="AA683" t="b">
            <v>0</v>
          </cell>
        </row>
        <row r="684">
          <cell r="Z684" t="b">
            <v>0</v>
          </cell>
          <cell r="AA684" t="b">
            <v>0</v>
          </cell>
        </row>
        <row r="685">
          <cell r="Z685" t="b">
            <v>0</v>
          </cell>
          <cell r="AA685" t="b">
            <v>0</v>
          </cell>
        </row>
        <row r="686">
          <cell r="Z686" t="b">
            <v>0</v>
          </cell>
          <cell r="AA686" t="b">
            <v>0</v>
          </cell>
        </row>
        <row r="687">
          <cell r="Z687" t="b">
            <v>0</v>
          </cell>
          <cell r="AA687" t="b">
            <v>0</v>
          </cell>
        </row>
        <row r="688">
          <cell r="Z688" t="b">
            <v>0</v>
          </cell>
          <cell r="AA688" t="b">
            <v>0</v>
          </cell>
        </row>
        <row r="689">
          <cell r="Z689" t="b">
            <v>0</v>
          </cell>
          <cell r="AA689" t="b">
            <v>0</v>
          </cell>
        </row>
        <row r="690">
          <cell r="Z690" t="b">
            <v>0</v>
          </cell>
          <cell r="AA690" t="b">
            <v>0</v>
          </cell>
        </row>
        <row r="691">
          <cell r="Z691" t="b">
            <v>0</v>
          </cell>
          <cell r="AA691" t="b">
            <v>0</v>
          </cell>
        </row>
        <row r="692">
          <cell r="Z692" t="b">
            <v>0</v>
          </cell>
          <cell r="AA692" t="b">
            <v>0</v>
          </cell>
        </row>
        <row r="693">
          <cell r="Z693" t="b">
            <v>0</v>
          </cell>
          <cell r="AA693" t="b">
            <v>0</v>
          </cell>
        </row>
        <row r="694">
          <cell r="Z694" t="b">
            <v>0</v>
          </cell>
          <cell r="AA694" t="b">
            <v>0</v>
          </cell>
        </row>
        <row r="695">
          <cell r="Z695" t="b">
            <v>0</v>
          </cell>
          <cell r="AA695" t="b">
            <v>0</v>
          </cell>
        </row>
        <row r="696">
          <cell r="Z696" t="b">
            <v>0</v>
          </cell>
          <cell r="AA696" t="b">
            <v>0</v>
          </cell>
        </row>
        <row r="697">
          <cell r="Z697" t="b">
            <v>0</v>
          </cell>
          <cell r="AA697" t="b">
            <v>0</v>
          </cell>
        </row>
        <row r="698">
          <cell r="Z698" t="b">
            <v>0</v>
          </cell>
          <cell r="AA698" t="b">
            <v>0</v>
          </cell>
        </row>
        <row r="699">
          <cell r="Z699" t="b">
            <v>0</v>
          </cell>
          <cell r="AA699" t="b">
            <v>0</v>
          </cell>
        </row>
        <row r="700">
          <cell r="Z700" t="b">
            <v>0</v>
          </cell>
          <cell r="AA700" t="b">
            <v>0</v>
          </cell>
        </row>
        <row r="701">
          <cell r="Z701" t="b">
            <v>0</v>
          </cell>
          <cell r="AA701" t="b">
            <v>0</v>
          </cell>
        </row>
        <row r="702">
          <cell r="Z702" t="b">
            <v>0</v>
          </cell>
          <cell r="AA702" t="b">
            <v>0</v>
          </cell>
        </row>
        <row r="703">
          <cell r="Z703" t="b">
            <v>0</v>
          </cell>
          <cell r="AA703" t="b">
            <v>0</v>
          </cell>
        </row>
        <row r="704">
          <cell r="Z704" t="b">
            <v>0</v>
          </cell>
          <cell r="AA704" t="b">
            <v>0</v>
          </cell>
        </row>
        <row r="705">
          <cell r="Z705" t="b">
            <v>0</v>
          </cell>
          <cell r="AA705" t="b">
            <v>0</v>
          </cell>
        </row>
        <row r="706">
          <cell r="Z706" t="b">
            <v>0</v>
          </cell>
          <cell r="AA706" t="b">
            <v>0</v>
          </cell>
        </row>
        <row r="707">
          <cell r="Z707" t="b">
            <v>0</v>
          </cell>
          <cell r="AA707" t="b">
            <v>0</v>
          </cell>
        </row>
        <row r="708">
          <cell r="Z708" t="b">
            <v>0</v>
          </cell>
          <cell r="AA708" t="b">
            <v>0</v>
          </cell>
        </row>
        <row r="709">
          <cell r="Z709" t="b">
            <v>0</v>
          </cell>
          <cell r="AA709" t="b">
            <v>0</v>
          </cell>
        </row>
        <row r="710">
          <cell r="Z710" t="b">
            <v>0</v>
          </cell>
          <cell r="AA710" t="b">
            <v>0</v>
          </cell>
        </row>
        <row r="711">
          <cell r="Z711" t="b">
            <v>0</v>
          </cell>
          <cell r="AA711" t="b">
            <v>0</v>
          </cell>
        </row>
        <row r="712">
          <cell r="Z712" t="b">
            <v>0</v>
          </cell>
          <cell r="AA712" t="b">
            <v>0</v>
          </cell>
        </row>
        <row r="713">
          <cell r="Z713" t="b">
            <v>0</v>
          </cell>
          <cell r="AA713" t="b">
            <v>0</v>
          </cell>
        </row>
        <row r="714">
          <cell r="Z714" t="b">
            <v>0</v>
          </cell>
          <cell r="AA714" t="b">
            <v>0</v>
          </cell>
        </row>
        <row r="715">
          <cell r="Z715" t="b">
            <v>0</v>
          </cell>
          <cell r="AA715" t="b">
            <v>0</v>
          </cell>
        </row>
        <row r="716">
          <cell r="Z716" t="b">
            <v>0</v>
          </cell>
          <cell r="AA716" t="b">
            <v>0</v>
          </cell>
        </row>
        <row r="717">
          <cell r="Z717" t="b">
            <v>0</v>
          </cell>
          <cell r="AA717" t="b">
            <v>0</v>
          </cell>
        </row>
        <row r="718">
          <cell r="Z718" t="b">
            <v>0</v>
          </cell>
          <cell r="AA718" t="b">
            <v>0</v>
          </cell>
        </row>
        <row r="719">
          <cell r="Z719" t="b">
            <v>0</v>
          </cell>
          <cell r="AA719" t="b">
            <v>0</v>
          </cell>
        </row>
        <row r="720">
          <cell r="Z720" t="b">
            <v>0</v>
          </cell>
          <cell r="AA720" t="b">
            <v>0</v>
          </cell>
        </row>
        <row r="721">
          <cell r="Z721" t="b">
            <v>0</v>
          </cell>
          <cell r="AA721" t="b">
            <v>0</v>
          </cell>
        </row>
        <row r="722">
          <cell r="Z722" t="b">
            <v>0</v>
          </cell>
          <cell r="AA722" t="b">
            <v>0</v>
          </cell>
        </row>
        <row r="723">
          <cell r="Z723" t="b">
            <v>0</v>
          </cell>
          <cell r="AA723" t="b">
            <v>0</v>
          </cell>
        </row>
        <row r="724">
          <cell r="Z724" t="b">
            <v>0</v>
          </cell>
          <cell r="AA724" t="b">
            <v>0</v>
          </cell>
        </row>
        <row r="725">
          <cell r="Z725" t="b">
            <v>0</v>
          </cell>
          <cell r="AA725" t="b">
            <v>0</v>
          </cell>
        </row>
        <row r="726">
          <cell r="Z726" t="b">
            <v>0</v>
          </cell>
          <cell r="AA726" t="b">
            <v>0</v>
          </cell>
        </row>
        <row r="727">
          <cell r="Z727" t="b">
            <v>0</v>
          </cell>
          <cell r="AA727" t="b">
            <v>0</v>
          </cell>
        </row>
        <row r="728">
          <cell r="Z728" t="b">
            <v>0</v>
          </cell>
          <cell r="AA728" t="b">
            <v>0</v>
          </cell>
        </row>
        <row r="729">
          <cell r="Z729" t="b">
            <v>0</v>
          </cell>
          <cell r="AA729" t="b">
            <v>0</v>
          </cell>
        </row>
        <row r="730">
          <cell r="Z730" t="b">
            <v>0</v>
          </cell>
          <cell r="AA730" t="b">
            <v>0</v>
          </cell>
        </row>
        <row r="731">
          <cell r="Z731" t="b">
            <v>0</v>
          </cell>
          <cell r="AA731" t="b">
            <v>0</v>
          </cell>
        </row>
        <row r="732">
          <cell r="Z732" t="b">
            <v>0</v>
          </cell>
          <cell r="AA732" t="b">
            <v>0</v>
          </cell>
        </row>
        <row r="733">
          <cell r="Z733" t="b">
            <v>0</v>
          </cell>
          <cell r="AA733" t="b">
            <v>0</v>
          </cell>
        </row>
        <row r="734">
          <cell r="Z734" t="b">
            <v>0</v>
          </cell>
          <cell r="AA734" t="b">
            <v>0</v>
          </cell>
        </row>
        <row r="735">
          <cell r="Z735" t="b">
            <v>0</v>
          </cell>
          <cell r="AA735" t="b">
            <v>0</v>
          </cell>
        </row>
        <row r="736">
          <cell r="Z736" t="b">
            <v>0</v>
          </cell>
          <cell r="AA736" t="b">
            <v>0</v>
          </cell>
        </row>
        <row r="737">
          <cell r="Z737" t="b">
            <v>0</v>
          </cell>
          <cell r="AA737" t="b">
            <v>0</v>
          </cell>
        </row>
        <row r="738">
          <cell r="Z738" t="b">
            <v>0</v>
          </cell>
          <cell r="AA738" t="b">
            <v>0</v>
          </cell>
        </row>
        <row r="739">
          <cell r="Z739" t="b">
            <v>0</v>
          </cell>
          <cell r="AA739" t="b">
            <v>0</v>
          </cell>
        </row>
        <row r="740">
          <cell r="Z740" t="b">
            <v>0</v>
          </cell>
          <cell r="AA740" t="b">
            <v>0</v>
          </cell>
        </row>
        <row r="741">
          <cell r="Z741" t="b">
            <v>0</v>
          </cell>
          <cell r="AA741" t="b">
            <v>0</v>
          </cell>
        </row>
        <row r="742">
          <cell r="Z742" t="b">
            <v>0</v>
          </cell>
          <cell r="AA742" t="b">
            <v>0</v>
          </cell>
        </row>
        <row r="743">
          <cell r="Z743" t="b">
            <v>0</v>
          </cell>
          <cell r="AA743" t="b">
            <v>0</v>
          </cell>
        </row>
        <row r="744">
          <cell r="Z744" t="b">
            <v>0</v>
          </cell>
          <cell r="AA744" t="b">
            <v>0</v>
          </cell>
        </row>
        <row r="745">
          <cell r="Z745" t="b">
            <v>0</v>
          </cell>
          <cell r="AA745" t="b">
            <v>0</v>
          </cell>
        </row>
        <row r="746">
          <cell r="Z746" t="b">
            <v>0</v>
          </cell>
          <cell r="AA746" t="b">
            <v>0</v>
          </cell>
        </row>
        <row r="747">
          <cell r="Z747" t="b">
            <v>0</v>
          </cell>
          <cell r="AA747" t="b">
            <v>0</v>
          </cell>
        </row>
        <row r="748">
          <cell r="Z748" t="b">
            <v>0</v>
          </cell>
          <cell r="AA748" t="b">
            <v>0</v>
          </cell>
        </row>
        <row r="749">
          <cell r="Z749" t="b">
            <v>0</v>
          </cell>
          <cell r="AA749" t="b">
            <v>0</v>
          </cell>
        </row>
        <row r="750">
          <cell r="Z750" t="b">
            <v>0</v>
          </cell>
          <cell r="AA750" t="b">
            <v>0</v>
          </cell>
        </row>
        <row r="751">
          <cell r="Z751" t="b">
            <v>0</v>
          </cell>
          <cell r="AA751" t="b">
            <v>0</v>
          </cell>
        </row>
        <row r="752">
          <cell r="Z752" t="b">
            <v>0</v>
          </cell>
          <cell r="AA752" t="b">
            <v>0</v>
          </cell>
        </row>
        <row r="753">
          <cell r="Z753" t="b">
            <v>0</v>
          </cell>
          <cell r="AA753" t="b">
            <v>0</v>
          </cell>
        </row>
        <row r="754">
          <cell r="Z754" t="b">
            <v>0</v>
          </cell>
          <cell r="AA754" t="b">
            <v>0</v>
          </cell>
        </row>
        <row r="755">
          <cell r="Z755" t="b">
            <v>0</v>
          </cell>
          <cell r="AA755" t="b">
            <v>0</v>
          </cell>
        </row>
        <row r="756">
          <cell r="Z756" t="b">
            <v>0</v>
          </cell>
          <cell r="AA756" t="b">
            <v>0</v>
          </cell>
        </row>
        <row r="757">
          <cell r="Z757" t="b">
            <v>0</v>
          </cell>
          <cell r="AA757" t="b">
            <v>0</v>
          </cell>
        </row>
        <row r="758">
          <cell r="Z758" t="b">
            <v>0</v>
          </cell>
          <cell r="AA758" t="b">
            <v>0</v>
          </cell>
        </row>
        <row r="759">
          <cell r="Z759" t="b">
            <v>0</v>
          </cell>
          <cell r="AA759" t="b">
            <v>0</v>
          </cell>
        </row>
        <row r="760">
          <cell r="Z760" t="b">
            <v>0</v>
          </cell>
          <cell r="AA760" t="b">
            <v>0</v>
          </cell>
        </row>
        <row r="761">
          <cell r="Z761" t="b">
            <v>0</v>
          </cell>
          <cell r="AA761" t="b">
            <v>0</v>
          </cell>
        </row>
        <row r="762">
          <cell r="Z762" t="b">
            <v>0</v>
          </cell>
          <cell r="AA762" t="b">
            <v>0</v>
          </cell>
        </row>
        <row r="763">
          <cell r="Z763" t="b">
            <v>0</v>
          </cell>
          <cell r="AA763" t="b">
            <v>0</v>
          </cell>
        </row>
        <row r="764">
          <cell r="Z764" t="b">
            <v>0</v>
          </cell>
          <cell r="AA764" t="b">
            <v>0</v>
          </cell>
        </row>
        <row r="765">
          <cell r="Z765" t="b">
            <v>0</v>
          </cell>
          <cell r="AA765" t="b">
            <v>0</v>
          </cell>
        </row>
        <row r="766">
          <cell r="Z766" t="b">
            <v>0</v>
          </cell>
          <cell r="AA766" t="b">
            <v>0</v>
          </cell>
        </row>
        <row r="767">
          <cell r="Z767" t="b">
            <v>0</v>
          </cell>
          <cell r="AA767" t="b">
            <v>0</v>
          </cell>
        </row>
        <row r="768">
          <cell r="Z768" t="b">
            <v>0</v>
          </cell>
          <cell r="AA768" t="b">
            <v>0</v>
          </cell>
        </row>
        <row r="769">
          <cell r="Z769" t="b">
            <v>0</v>
          </cell>
          <cell r="AA769" t="b">
            <v>0</v>
          </cell>
        </row>
        <row r="770">
          <cell r="Z770" t="b">
            <v>0</v>
          </cell>
          <cell r="AA770" t="b">
            <v>0</v>
          </cell>
        </row>
        <row r="771">
          <cell r="Z771" t="b">
            <v>0</v>
          </cell>
          <cell r="AA771" t="b">
            <v>0</v>
          </cell>
        </row>
        <row r="772">
          <cell r="Z772" t="b">
            <v>0</v>
          </cell>
          <cell r="AA772" t="b">
            <v>0</v>
          </cell>
        </row>
        <row r="773">
          <cell r="Z773" t="b">
            <v>0</v>
          </cell>
          <cell r="AA773" t="b">
            <v>0</v>
          </cell>
        </row>
        <row r="774">
          <cell r="Z774" t="b">
            <v>0</v>
          </cell>
          <cell r="AA774" t="b">
            <v>0</v>
          </cell>
        </row>
        <row r="775">
          <cell r="Z775" t="b">
            <v>0</v>
          </cell>
          <cell r="AA775" t="b">
            <v>0</v>
          </cell>
        </row>
        <row r="776">
          <cell r="Z776" t="b">
            <v>0</v>
          </cell>
          <cell r="AA776" t="b">
            <v>0</v>
          </cell>
        </row>
        <row r="777">
          <cell r="Z777" t="b">
            <v>0</v>
          </cell>
          <cell r="AA777" t="b">
            <v>0</v>
          </cell>
        </row>
        <row r="778">
          <cell r="Z778" t="b">
            <v>0</v>
          </cell>
          <cell r="AA778" t="b">
            <v>0</v>
          </cell>
        </row>
        <row r="779">
          <cell r="Z779" t="b">
            <v>0</v>
          </cell>
          <cell r="AA779" t="b">
            <v>0</v>
          </cell>
        </row>
        <row r="780">
          <cell r="Z780" t="b">
            <v>0</v>
          </cell>
          <cell r="AA780" t="b">
            <v>0</v>
          </cell>
        </row>
        <row r="781">
          <cell r="Z781" t="b">
            <v>0</v>
          </cell>
          <cell r="AA781" t="b">
            <v>0</v>
          </cell>
        </row>
        <row r="782">
          <cell r="Z782" t="b">
            <v>0</v>
          </cell>
          <cell r="AA782" t="b">
            <v>0</v>
          </cell>
        </row>
        <row r="783">
          <cell r="Z783" t="b">
            <v>0</v>
          </cell>
          <cell r="AA783" t="b">
            <v>0</v>
          </cell>
        </row>
        <row r="784">
          <cell r="Z784" t="b">
            <v>0</v>
          </cell>
          <cell r="AA784" t="b">
            <v>0</v>
          </cell>
        </row>
        <row r="785">
          <cell r="Z785" t="b">
            <v>0</v>
          </cell>
          <cell r="AA785" t="b">
            <v>0</v>
          </cell>
        </row>
        <row r="786">
          <cell r="Z786" t="b">
            <v>0</v>
          </cell>
          <cell r="AA786" t="b">
            <v>0</v>
          </cell>
        </row>
        <row r="787">
          <cell r="Z787" t="b">
            <v>0</v>
          </cell>
          <cell r="AA787" t="b">
            <v>0</v>
          </cell>
        </row>
        <row r="788">
          <cell r="Z788" t="b">
            <v>0</v>
          </cell>
          <cell r="AA788" t="b">
            <v>0</v>
          </cell>
        </row>
        <row r="789">
          <cell r="Z789" t="b">
            <v>0</v>
          </cell>
          <cell r="AA789" t="b">
            <v>0</v>
          </cell>
        </row>
        <row r="790">
          <cell r="Z790" t="b">
            <v>0</v>
          </cell>
          <cell r="AA790" t="b">
            <v>0</v>
          </cell>
        </row>
        <row r="791">
          <cell r="Z791" t="b">
            <v>0</v>
          </cell>
          <cell r="AA791" t="b">
            <v>0</v>
          </cell>
        </row>
        <row r="792">
          <cell r="Z792" t="b">
            <v>0</v>
          </cell>
          <cell r="AA792" t="b">
            <v>0</v>
          </cell>
        </row>
        <row r="793">
          <cell r="Z793" t="b">
            <v>0</v>
          </cell>
          <cell r="AA793" t="b">
            <v>0</v>
          </cell>
        </row>
        <row r="794">
          <cell r="Z794" t="b">
            <v>0</v>
          </cell>
          <cell r="AA794" t="b">
            <v>0</v>
          </cell>
        </row>
        <row r="795">
          <cell r="Z795" t="b">
            <v>0</v>
          </cell>
          <cell r="AA795" t="b">
            <v>0</v>
          </cell>
        </row>
        <row r="796">
          <cell r="Z796" t="b">
            <v>0</v>
          </cell>
          <cell r="AA796" t="b">
            <v>0</v>
          </cell>
        </row>
        <row r="797">
          <cell r="Z797" t="b">
            <v>0</v>
          </cell>
          <cell r="AA797" t="b">
            <v>0</v>
          </cell>
        </row>
        <row r="798">
          <cell r="Z798" t="b">
            <v>0</v>
          </cell>
          <cell r="AA798" t="b">
            <v>0</v>
          </cell>
        </row>
        <row r="799">
          <cell r="Z799" t="b">
            <v>0</v>
          </cell>
          <cell r="AA799" t="b">
            <v>0</v>
          </cell>
        </row>
        <row r="800">
          <cell r="Z800" t="b">
            <v>0</v>
          </cell>
          <cell r="AA800" t="b">
            <v>0</v>
          </cell>
        </row>
        <row r="801">
          <cell r="Z801" t="b">
            <v>0</v>
          </cell>
          <cell r="AA801" t="b">
            <v>0</v>
          </cell>
        </row>
        <row r="802">
          <cell r="Z802" t="b">
            <v>0</v>
          </cell>
          <cell r="AA802" t="b">
            <v>0</v>
          </cell>
        </row>
        <row r="803">
          <cell r="Z803" t="b">
            <v>0</v>
          </cell>
          <cell r="AA803" t="b">
            <v>0</v>
          </cell>
        </row>
        <row r="804">
          <cell r="Z804" t="b">
            <v>0</v>
          </cell>
          <cell r="AA804" t="b">
            <v>0</v>
          </cell>
        </row>
        <row r="805">
          <cell r="Z805" t="b">
            <v>0</v>
          </cell>
          <cell r="AA805" t="b">
            <v>0</v>
          </cell>
        </row>
        <row r="806">
          <cell r="Z806" t="b">
            <v>0</v>
          </cell>
          <cell r="AA806" t="b">
            <v>0</v>
          </cell>
        </row>
        <row r="807">
          <cell r="Z807" t="b">
            <v>0</v>
          </cell>
          <cell r="AA807" t="b">
            <v>0</v>
          </cell>
        </row>
        <row r="808">
          <cell r="Z808" t="b">
            <v>0</v>
          </cell>
          <cell r="AA808" t="b">
            <v>0</v>
          </cell>
        </row>
        <row r="809">
          <cell r="Z809" t="b">
            <v>0</v>
          </cell>
          <cell r="AA809" t="b">
            <v>0</v>
          </cell>
        </row>
        <row r="810">
          <cell r="Z810" t="b">
            <v>0</v>
          </cell>
          <cell r="AA810" t="b">
            <v>0</v>
          </cell>
        </row>
        <row r="811">
          <cell r="Z811" t="b">
            <v>0</v>
          </cell>
          <cell r="AA811" t="b">
            <v>0</v>
          </cell>
        </row>
        <row r="812">
          <cell r="Z812" t="b">
            <v>0</v>
          </cell>
          <cell r="AA812" t="b">
            <v>0</v>
          </cell>
        </row>
        <row r="813">
          <cell r="Z813" t="b">
            <v>0</v>
          </cell>
          <cell r="AA813" t="b">
            <v>0</v>
          </cell>
        </row>
        <row r="814">
          <cell r="Z814" t="b">
            <v>0</v>
          </cell>
          <cell r="AA814" t="b">
            <v>0</v>
          </cell>
        </row>
        <row r="815">
          <cell r="Z815" t="b">
            <v>0</v>
          </cell>
          <cell r="AA815" t="b">
            <v>0</v>
          </cell>
        </row>
        <row r="816">
          <cell r="Z816" t="b">
            <v>0</v>
          </cell>
          <cell r="AA816" t="b">
            <v>0</v>
          </cell>
        </row>
        <row r="817">
          <cell r="Z817" t="b">
            <v>0</v>
          </cell>
          <cell r="AA817" t="b">
            <v>0</v>
          </cell>
        </row>
        <row r="818">
          <cell r="Z818" t="b">
            <v>0</v>
          </cell>
          <cell r="AA818" t="b">
            <v>0</v>
          </cell>
        </row>
        <row r="819">
          <cell r="Z819" t="b">
            <v>0</v>
          </cell>
          <cell r="AA819" t="b">
            <v>0</v>
          </cell>
        </row>
        <row r="820">
          <cell r="Z820" t="b">
            <v>0</v>
          </cell>
          <cell r="AA820" t="b">
            <v>0</v>
          </cell>
        </row>
        <row r="821">
          <cell r="Z821" t="b">
            <v>0</v>
          </cell>
          <cell r="AA821" t="b">
            <v>0</v>
          </cell>
        </row>
        <row r="822">
          <cell r="Z822" t="b">
            <v>0</v>
          </cell>
          <cell r="AA822" t="b">
            <v>0</v>
          </cell>
        </row>
        <row r="823">
          <cell r="Z823" t="b">
            <v>0</v>
          </cell>
          <cell r="AA823" t="b">
            <v>0</v>
          </cell>
        </row>
        <row r="824">
          <cell r="Z824" t="b">
            <v>0</v>
          </cell>
          <cell r="AA824" t="b">
            <v>0</v>
          </cell>
        </row>
        <row r="825">
          <cell r="Z825" t="b">
            <v>0</v>
          </cell>
          <cell r="AA825" t="b">
            <v>0</v>
          </cell>
        </row>
        <row r="826">
          <cell r="Z826" t="b">
            <v>0</v>
          </cell>
          <cell r="AA826" t="b">
            <v>0</v>
          </cell>
        </row>
        <row r="827">
          <cell r="Z827" t="b">
            <v>0</v>
          </cell>
          <cell r="AA827" t="b">
            <v>0</v>
          </cell>
        </row>
        <row r="828">
          <cell r="Z828" t="b">
            <v>0</v>
          </cell>
          <cell r="AA828" t="b">
            <v>0</v>
          </cell>
        </row>
        <row r="829">
          <cell r="Z829" t="b">
            <v>0</v>
          </cell>
          <cell r="AA829" t="b">
            <v>0</v>
          </cell>
        </row>
        <row r="830">
          <cell r="Z830" t="b">
            <v>0</v>
          </cell>
          <cell r="AA830" t="b">
            <v>0</v>
          </cell>
        </row>
        <row r="831">
          <cell r="Z831" t="b">
            <v>0</v>
          </cell>
          <cell r="AA831" t="b">
            <v>0</v>
          </cell>
        </row>
        <row r="832">
          <cell r="Z832" t="b">
            <v>0</v>
          </cell>
          <cell r="AA832" t="b">
            <v>0</v>
          </cell>
        </row>
        <row r="833">
          <cell r="Z833" t="b">
            <v>0</v>
          </cell>
          <cell r="AA833" t="b">
            <v>0</v>
          </cell>
        </row>
        <row r="834">
          <cell r="Z834" t="b">
            <v>0</v>
          </cell>
          <cell r="AA834" t="b">
            <v>0</v>
          </cell>
        </row>
        <row r="835">
          <cell r="Z835" t="b">
            <v>0</v>
          </cell>
          <cell r="AA835" t="b">
            <v>0</v>
          </cell>
        </row>
        <row r="836">
          <cell r="Z836" t="b">
            <v>0</v>
          </cell>
          <cell r="AA836" t="b">
            <v>0</v>
          </cell>
        </row>
        <row r="837">
          <cell r="Z837" t="b">
            <v>0</v>
          </cell>
          <cell r="AA837" t="b">
            <v>0</v>
          </cell>
        </row>
        <row r="838">
          <cell r="Z838" t="b">
            <v>0</v>
          </cell>
          <cell r="AA838" t="b">
            <v>0</v>
          </cell>
        </row>
        <row r="839">
          <cell r="Z839" t="b">
            <v>0</v>
          </cell>
          <cell r="AA839" t="b">
            <v>0</v>
          </cell>
        </row>
        <row r="840">
          <cell r="Z840" t="b">
            <v>0</v>
          </cell>
          <cell r="AA840" t="b">
            <v>0</v>
          </cell>
        </row>
        <row r="841">
          <cell r="Z841" t="b">
            <v>0</v>
          </cell>
          <cell r="AA841" t="b">
            <v>0</v>
          </cell>
        </row>
        <row r="842">
          <cell r="Z842" t="b">
            <v>0</v>
          </cell>
          <cell r="AA842" t="b">
            <v>0</v>
          </cell>
        </row>
        <row r="843">
          <cell r="Z843" t="b">
            <v>0</v>
          </cell>
          <cell r="AA843" t="b">
            <v>0</v>
          </cell>
        </row>
        <row r="844">
          <cell r="Z844" t="b">
            <v>0</v>
          </cell>
          <cell r="AA844" t="b">
            <v>0</v>
          </cell>
        </row>
        <row r="845">
          <cell r="Z845" t="b">
            <v>0</v>
          </cell>
          <cell r="AA845" t="b">
            <v>0</v>
          </cell>
        </row>
        <row r="846">
          <cell r="Z846" t="b">
            <v>0</v>
          </cell>
          <cell r="AA846" t="b">
            <v>0</v>
          </cell>
        </row>
        <row r="847">
          <cell r="Z847" t="b">
            <v>0</v>
          </cell>
          <cell r="AA847" t="b">
            <v>0</v>
          </cell>
        </row>
        <row r="848">
          <cell r="Z848" t="b">
            <v>0</v>
          </cell>
          <cell r="AA848" t="b">
            <v>0</v>
          </cell>
        </row>
        <row r="849">
          <cell r="Z849" t="b">
            <v>0</v>
          </cell>
          <cell r="AA849" t="b">
            <v>0</v>
          </cell>
        </row>
        <row r="850">
          <cell r="Z850" t="b">
            <v>0</v>
          </cell>
          <cell r="AA850" t="b">
            <v>0</v>
          </cell>
        </row>
        <row r="851">
          <cell r="Z851" t="b">
            <v>0</v>
          </cell>
          <cell r="AA851" t="b">
            <v>0</v>
          </cell>
        </row>
        <row r="852">
          <cell r="Z852" t="b">
            <v>0</v>
          </cell>
          <cell r="AA852" t="b">
            <v>0</v>
          </cell>
        </row>
        <row r="853">
          <cell r="Z853" t="b">
            <v>0</v>
          </cell>
          <cell r="AA853" t="b">
            <v>0</v>
          </cell>
        </row>
        <row r="854">
          <cell r="Z854" t="b">
            <v>0</v>
          </cell>
          <cell r="AA854" t="b">
            <v>0</v>
          </cell>
        </row>
        <row r="855">
          <cell r="Z855" t="b">
            <v>0</v>
          </cell>
          <cell r="AA855" t="b">
            <v>0</v>
          </cell>
        </row>
        <row r="856">
          <cell r="Z856" t="b">
            <v>0</v>
          </cell>
          <cell r="AA856" t="b">
            <v>0</v>
          </cell>
        </row>
        <row r="857">
          <cell r="Z857" t="b">
            <v>0</v>
          </cell>
          <cell r="AA857" t="b">
            <v>0</v>
          </cell>
        </row>
        <row r="858">
          <cell r="Z858" t="b">
            <v>0</v>
          </cell>
          <cell r="AA858" t="b">
            <v>0</v>
          </cell>
        </row>
        <row r="859">
          <cell r="Z859" t="b">
            <v>0</v>
          </cell>
          <cell r="AA859" t="b">
            <v>0</v>
          </cell>
        </row>
        <row r="860">
          <cell r="Z860" t="b">
            <v>0</v>
          </cell>
          <cell r="AA860" t="b">
            <v>0</v>
          </cell>
        </row>
        <row r="861">
          <cell r="Z861" t="b">
            <v>0</v>
          </cell>
          <cell r="AA861" t="b">
            <v>0</v>
          </cell>
        </row>
        <row r="862">
          <cell r="Z862" t="b">
            <v>0</v>
          </cell>
          <cell r="AA862" t="b">
            <v>0</v>
          </cell>
        </row>
        <row r="863">
          <cell r="Z863" t="b">
            <v>0</v>
          </cell>
          <cell r="AA863" t="b">
            <v>0</v>
          </cell>
        </row>
        <row r="864">
          <cell r="Z864" t="b">
            <v>0</v>
          </cell>
          <cell r="AA864" t="b">
            <v>0</v>
          </cell>
        </row>
        <row r="865">
          <cell r="Z865" t="b">
            <v>0</v>
          </cell>
          <cell r="AA865" t="b">
            <v>0</v>
          </cell>
        </row>
        <row r="866">
          <cell r="Z866" t="b">
            <v>0</v>
          </cell>
          <cell r="AA866" t="b">
            <v>0</v>
          </cell>
        </row>
        <row r="867">
          <cell r="Z867" t="b">
            <v>0</v>
          </cell>
          <cell r="AA867" t="b">
            <v>0</v>
          </cell>
        </row>
        <row r="868">
          <cell r="Z868" t="b">
            <v>0</v>
          </cell>
          <cell r="AA868" t="b">
            <v>0</v>
          </cell>
        </row>
        <row r="869">
          <cell r="Z869" t="b">
            <v>0</v>
          </cell>
          <cell r="AA869" t="b">
            <v>0</v>
          </cell>
        </row>
        <row r="870">
          <cell r="Z870" t="b">
            <v>0</v>
          </cell>
          <cell r="AA870" t="b">
            <v>0</v>
          </cell>
        </row>
        <row r="871">
          <cell r="Z871" t="b">
            <v>0</v>
          </cell>
          <cell r="AA871" t="b">
            <v>0</v>
          </cell>
        </row>
        <row r="872">
          <cell r="Z872" t="b">
            <v>0</v>
          </cell>
          <cell r="AA872" t="b">
            <v>0</v>
          </cell>
        </row>
        <row r="873">
          <cell r="Z873" t="b">
            <v>0</v>
          </cell>
          <cell r="AA873" t="b">
            <v>0</v>
          </cell>
        </row>
        <row r="874">
          <cell r="Z874" t="b">
            <v>0</v>
          </cell>
          <cell r="AA874" t="b">
            <v>0</v>
          </cell>
        </row>
        <row r="875">
          <cell r="Z875" t="b">
            <v>0</v>
          </cell>
          <cell r="AA875" t="b">
            <v>0</v>
          </cell>
        </row>
        <row r="876">
          <cell r="Z876" t="b">
            <v>0</v>
          </cell>
          <cell r="AA876" t="b">
            <v>0</v>
          </cell>
        </row>
        <row r="877">
          <cell r="Z877" t="b">
            <v>0</v>
          </cell>
          <cell r="AA877" t="b">
            <v>0</v>
          </cell>
        </row>
        <row r="878">
          <cell r="Z878" t="b">
            <v>0</v>
          </cell>
          <cell r="AA878" t="b">
            <v>0</v>
          </cell>
        </row>
        <row r="879">
          <cell r="Z879" t="b">
            <v>0</v>
          </cell>
          <cell r="AA879" t="b">
            <v>0</v>
          </cell>
        </row>
        <row r="880">
          <cell r="Z880" t="b">
            <v>0</v>
          </cell>
          <cell r="AA880" t="b">
            <v>0</v>
          </cell>
        </row>
        <row r="881">
          <cell r="Z881" t="b">
            <v>0</v>
          </cell>
          <cell r="AA881" t="b">
            <v>0</v>
          </cell>
        </row>
        <row r="882">
          <cell r="Z882" t="b">
            <v>0</v>
          </cell>
          <cell r="AA882" t="b">
            <v>0</v>
          </cell>
        </row>
        <row r="883">
          <cell r="Z883" t="b">
            <v>0</v>
          </cell>
          <cell r="AA883" t="b">
            <v>0</v>
          </cell>
        </row>
        <row r="884">
          <cell r="Z884" t="b">
            <v>0</v>
          </cell>
          <cell r="AA884" t="b">
            <v>0</v>
          </cell>
        </row>
        <row r="885">
          <cell r="Z885" t="b">
            <v>0</v>
          </cell>
          <cell r="AA885" t="b">
            <v>0</v>
          </cell>
        </row>
        <row r="886">
          <cell r="Z886" t="b">
            <v>0</v>
          </cell>
          <cell r="AA886" t="b">
            <v>0</v>
          </cell>
        </row>
        <row r="887">
          <cell r="Z887" t="b">
            <v>0</v>
          </cell>
          <cell r="AA887" t="b">
            <v>0</v>
          </cell>
        </row>
        <row r="888">
          <cell r="Z888" t="b">
            <v>0</v>
          </cell>
          <cell r="AA888" t="b">
            <v>0</v>
          </cell>
        </row>
        <row r="889">
          <cell r="Z889" t="b">
            <v>0</v>
          </cell>
          <cell r="AA889" t="b">
            <v>0</v>
          </cell>
        </row>
        <row r="890">
          <cell r="Z890" t="b">
            <v>0</v>
          </cell>
          <cell r="AA890" t="b">
            <v>0</v>
          </cell>
        </row>
        <row r="891">
          <cell r="Z891" t="b">
            <v>0</v>
          </cell>
          <cell r="AA891" t="b">
            <v>0</v>
          </cell>
        </row>
        <row r="892">
          <cell r="Z892" t="b">
            <v>0</v>
          </cell>
          <cell r="AA892" t="b">
            <v>0</v>
          </cell>
        </row>
        <row r="893">
          <cell r="Z893" t="b">
            <v>0</v>
          </cell>
          <cell r="AA893" t="b">
            <v>0</v>
          </cell>
        </row>
        <row r="894">
          <cell r="Z894" t="b">
            <v>0</v>
          </cell>
          <cell r="AA894" t="b">
            <v>0</v>
          </cell>
        </row>
        <row r="895">
          <cell r="Z895" t="b">
            <v>0</v>
          </cell>
          <cell r="AA895" t="b">
            <v>0</v>
          </cell>
        </row>
        <row r="896">
          <cell r="Z896" t="b">
            <v>0</v>
          </cell>
          <cell r="AA896" t="b">
            <v>0</v>
          </cell>
        </row>
        <row r="897">
          <cell r="Z897" t="b">
            <v>0</v>
          </cell>
          <cell r="AA897" t="b">
            <v>0</v>
          </cell>
        </row>
        <row r="898">
          <cell r="Z898" t="b">
            <v>0</v>
          </cell>
          <cell r="AA898" t="b">
            <v>0</v>
          </cell>
        </row>
        <row r="899">
          <cell r="Z899" t="b">
            <v>0</v>
          </cell>
          <cell r="AA899" t="b">
            <v>0</v>
          </cell>
        </row>
        <row r="900">
          <cell r="Z900" t="b">
            <v>0</v>
          </cell>
          <cell r="AA900" t="b">
            <v>0</v>
          </cell>
        </row>
        <row r="901">
          <cell r="Z901" t="b">
            <v>0</v>
          </cell>
          <cell r="AA901" t="b">
            <v>0</v>
          </cell>
        </row>
        <row r="902">
          <cell r="Z902" t="b">
            <v>0</v>
          </cell>
          <cell r="AA902" t="b">
            <v>0</v>
          </cell>
        </row>
        <row r="903">
          <cell r="Z903" t="b">
            <v>0</v>
          </cell>
          <cell r="AA903" t="b">
            <v>0</v>
          </cell>
        </row>
        <row r="904">
          <cell r="Z904" t="b">
            <v>0</v>
          </cell>
          <cell r="AA904" t="b">
            <v>0</v>
          </cell>
        </row>
        <row r="905">
          <cell r="Z905" t="b">
            <v>0</v>
          </cell>
          <cell r="AA905" t="b">
            <v>0</v>
          </cell>
        </row>
        <row r="906">
          <cell r="Z906" t="b">
            <v>0</v>
          </cell>
          <cell r="AA906" t="b">
            <v>0</v>
          </cell>
        </row>
        <row r="907">
          <cell r="Z907" t="b">
            <v>0</v>
          </cell>
          <cell r="AA907" t="b">
            <v>0</v>
          </cell>
        </row>
        <row r="908">
          <cell r="Z908" t="b">
            <v>0</v>
          </cell>
          <cell r="AA908" t="b">
            <v>0</v>
          </cell>
        </row>
        <row r="909">
          <cell r="Z909" t="b">
            <v>0</v>
          </cell>
          <cell r="AA909" t="b">
            <v>0</v>
          </cell>
        </row>
        <row r="910">
          <cell r="Z910" t="b">
            <v>0</v>
          </cell>
          <cell r="AA910" t="b">
            <v>0</v>
          </cell>
        </row>
        <row r="911">
          <cell r="Z911" t="b">
            <v>0</v>
          </cell>
          <cell r="AA911" t="b">
            <v>0</v>
          </cell>
        </row>
        <row r="912">
          <cell r="Z912" t="b">
            <v>0</v>
          </cell>
          <cell r="AA912" t="b">
            <v>0</v>
          </cell>
        </row>
        <row r="913">
          <cell r="Z913" t="b">
            <v>0</v>
          </cell>
          <cell r="AA913" t="b">
            <v>0</v>
          </cell>
        </row>
        <row r="914">
          <cell r="Z914" t="b">
            <v>0</v>
          </cell>
          <cell r="AA914" t="b">
            <v>0</v>
          </cell>
        </row>
        <row r="915">
          <cell r="Z915" t="b">
            <v>0</v>
          </cell>
          <cell r="AA915" t="b">
            <v>0</v>
          </cell>
        </row>
        <row r="916">
          <cell r="Z916" t="b">
            <v>0</v>
          </cell>
          <cell r="AA916" t="b">
            <v>0</v>
          </cell>
        </row>
        <row r="917">
          <cell r="Z917" t="b">
            <v>0</v>
          </cell>
          <cell r="AA917" t="b">
            <v>0</v>
          </cell>
        </row>
        <row r="918">
          <cell r="Z918" t="b">
            <v>0</v>
          </cell>
          <cell r="AA918" t="b">
            <v>0</v>
          </cell>
        </row>
        <row r="919">
          <cell r="Z919" t="b">
            <v>0</v>
          </cell>
          <cell r="AA919" t="b">
            <v>0</v>
          </cell>
        </row>
        <row r="920">
          <cell r="Z920" t="b">
            <v>0</v>
          </cell>
          <cell r="AA920" t="b">
            <v>0</v>
          </cell>
        </row>
        <row r="921">
          <cell r="Z921" t="b">
            <v>0</v>
          </cell>
          <cell r="AA921" t="b">
            <v>0</v>
          </cell>
        </row>
        <row r="922">
          <cell r="Z922" t="b">
            <v>0</v>
          </cell>
          <cell r="AA922" t="b">
            <v>0</v>
          </cell>
        </row>
        <row r="923">
          <cell r="Z923" t="b">
            <v>0</v>
          </cell>
          <cell r="AA923" t="b">
            <v>0</v>
          </cell>
        </row>
        <row r="924">
          <cell r="Z924" t="b">
            <v>0</v>
          </cell>
          <cell r="AA924" t="b">
            <v>0</v>
          </cell>
        </row>
        <row r="925">
          <cell r="Z925" t="b">
            <v>0</v>
          </cell>
          <cell r="AA925" t="b">
            <v>0</v>
          </cell>
        </row>
        <row r="926">
          <cell r="Z926" t="b">
            <v>0</v>
          </cell>
          <cell r="AA926" t="b">
            <v>0</v>
          </cell>
        </row>
        <row r="927">
          <cell r="Z927" t="b">
            <v>0</v>
          </cell>
          <cell r="AA927" t="b">
            <v>0</v>
          </cell>
        </row>
        <row r="928">
          <cell r="Z928" t="b">
            <v>0</v>
          </cell>
          <cell r="AA928" t="b">
            <v>0</v>
          </cell>
        </row>
        <row r="929">
          <cell r="Z929" t="b">
            <v>0</v>
          </cell>
          <cell r="AA929" t="b">
            <v>0</v>
          </cell>
        </row>
        <row r="930">
          <cell r="Z930" t="b">
            <v>0</v>
          </cell>
          <cell r="AA930" t="b">
            <v>0</v>
          </cell>
        </row>
        <row r="931">
          <cell r="Z931" t="b">
            <v>0</v>
          </cell>
          <cell r="AA931" t="b">
            <v>0</v>
          </cell>
        </row>
        <row r="932">
          <cell r="Z932" t="b">
            <v>0</v>
          </cell>
          <cell r="AA932" t="b">
            <v>0</v>
          </cell>
        </row>
        <row r="933">
          <cell r="Z933" t="b">
            <v>0</v>
          </cell>
          <cell r="AA933" t="b">
            <v>0</v>
          </cell>
        </row>
        <row r="934">
          <cell r="Z934" t="b">
            <v>0</v>
          </cell>
          <cell r="AA934" t="b">
            <v>0</v>
          </cell>
        </row>
        <row r="935">
          <cell r="Z935" t="b">
            <v>0</v>
          </cell>
          <cell r="AA935" t="b">
            <v>0</v>
          </cell>
        </row>
        <row r="936">
          <cell r="Z936" t="b">
            <v>0</v>
          </cell>
          <cell r="AA936" t="b">
            <v>0</v>
          </cell>
        </row>
        <row r="937">
          <cell r="Z937" t="b">
            <v>0</v>
          </cell>
          <cell r="AA937" t="b">
            <v>0</v>
          </cell>
        </row>
        <row r="938">
          <cell r="Z938" t="b">
            <v>0</v>
          </cell>
          <cell r="AA938" t="b">
            <v>0</v>
          </cell>
        </row>
        <row r="939">
          <cell r="Z939" t="b">
            <v>0</v>
          </cell>
          <cell r="AA939" t="b">
            <v>0</v>
          </cell>
        </row>
        <row r="940">
          <cell r="Z940" t="b">
            <v>0</v>
          </cell>
          <cell r="AA940" t="b">
            <v>0</v>
          </cell>
        </row>
        <row r="941">
          <cell r="Z941" t="b">
            <v>0</v>
          </cell>
          <cell r="AA941" t="b">
            <v>0</v>
          </cell>
        </row>
        <row r="942">
          <cell r="Z942" t="b">
            <v>0</v>
          </cell>
          <cell r="AA942" t="b">
            <v>0</v>
          </cell>
        </row>
        <row r="943">
          <cell r="Z943" t="b">
            <v>0</v>
          </cell>
          <cell r="AA943" t="b">
            <v>0</v>
          </cell>
        </row>
        <row r="944">
          <cell r="Z944" t="b">
            <v>0</v>
          </cell>
          <cell r="AA944" t="b">
            <v>0</v>
          </cell>
        </row>
        <row r="945">
          <cell r="Z945" t="b">
            <v>0</v>
          </cell>
          <cell r="AA945" t="b">
            <v>0</v>
          </cell>
        </row>
        <row r="946">
          <cell r="Z946" t="b">
            <v>0</v>
          </cell>
          <cell r="AA946" t="b">
            <v>0</v>
          </cell>
        </row>
        <row r="947">
          <cell r="Z947" t="b">
            <v>0</v>
          </cell>
          <cell r="AA947" t="b">
            <v>0</v>
          </cell>
        </row>
        <row r="948">
          <cell r="Z948" t="b">
            <v>0</v>
          </cell>
          <cell r="AA948" t="b">
            <v>0</v>
          </cell>
        </row>
        <row r="949">
          <cell r="Z949" t="b">
            <v>0</v>
          </cell>
          <cell r="AA949" t="b">
            <v>0</v>
          </cell>
        </row>
        <row r="950">
          <cell r="Z950" t="b">
            <v>0</v>
          </cell>
          <cell r="AA950" t="b">
            <v>0</v>
          </cell>
        </row>
        <row r="951">
          <cell r="Z951" t="b">
            <v>0</v>
          </cell>
          <cell r="AA951" t="b">
            <v>0</v>
          </cell>
        </row>
        <row r="952">
          <cell r="Z952" t="b">
            <v>0</v>
          </cell>
          <cell r="AA952" t="b">
            <v>0</v>
          </cell>
        </row>
        <row r="953">
          <cell r="Z953" t="b">
            <v>0</v>
          </cell>
          <cell r="AA953" t="b">
            <v>0</v>
          </cell>
        </row>
        <row r="954">
          <cell r="Z954" t="b">
            <v>0</v>
          </cell>
          <cell r="AA954" t="b">
            <v>0</v>
          </cell>
        </row>
        <row r="955">
          <cell r="Z955" t="b">
            <v>0</v>
          </cell>
          <cell r="AA955" t="b">
            <v>0</v>
          </cell>
        </row>
        <row r="956">
          <cell r="Z956" t="b">
            <v>0</v>
          </cell>
          <cell r="AA956" t="b">
            <v>0</v>
          </cell>
        </row>
        <row r="957">
          <cell r="Z957" t="b">
            <v>0</v>
          </cell>
          <cell r="AA957" t="b">
            <v>0</v>
          </cell>
        </row>
        <row r="958">
          <cell r="Z958" t="b">
            <v>0</v>
          </cell>
          <cell r="AA958" t="b">
            <v>0</v>
          </cell>
        </row>
        <row r="959">
          <cell r="Z959" t="b">
            <v>0</v>
          </cell>
          <cell r="AA959" t="b">
            <v>0</v>
          </cell>
        </row>
        <row r="960">
          <cell r="Z960" t="b">
            <v>0</v>
          </cell>
          <cell r="AA960" t="b">
            <v>0</v>
          </cell>
        </row>
        <row r="961">
          <cell r="Z961" t="b">
            <v>0</v>
          </cell>
          <cell r="AA961" t="b">
            <v>0</v>
          </cell>
        </row>
        <row r="962">
          <cell r="Z962" t="b">
            <v>0</v>
          </cell>
          <cell r="AA962" t="b">
            <v>0</v>
          </cell>
        </row>
        <row r="963">
          <cell r="Z963" t="b">
            <v>0</v>
          </cell>
          <cell r="AA963" t="b">
            <v>0</v>
          </cell>
        </row>
        <row r="964">
          <cell r="Z964" t="b">
            <v>0</v>
          </cell>
          <cell r="AA964" t="b">
            <v>0</v>
          </cell>
        </row>
        <row r="965">
          <cell r="Z965" t="b">
            <v>0</v>
          </cell>
          <cell r="AA965" t="b">
            <v>0</v>
          </cell>
        </row>
        <row r="966">
          <cell r="Z966" t="b">
            <v>0</v>
          </cell>
          <cell r="AA966" t="b">
            <v>0</v>
          </cell>
        </row>
        <row r="967">
          <cell r="Z967" t="b">
            <v>0</v>
          </cell>
          <cell r="AA967" t="b">
            <v>0</v>
          </cell>
        </row>
        <row r="968">
          <cell r="Z968" t="b">
            <v>0</v>
          </cell>
          <cell r="AA968" t="b">
            <v>0</v>
          </cell>
        </row>
        <row r="969">
          <cell r="Z969" t="b">
            <v>0</v>
          </cell>
          <cell r="AA969" t="b">
            <v>0</v>
          </cell>
        </row>
        <row r="970">
          <cell r="Z970" t="b">
            <v>0</v>
          </cell>
          <cell r="AA970" t="b">
            <v>0</v>
          </cell>
        </row>
        <row r="971">
          <cell r="Z971" t="b">
            <v>0</v>
          </cell>
          <cell r="AA971" t="b">
            <v>0</v>
          </cell>
        </row>
        <row r="972">
          <cell r="Z972" t="b">
            <v>0</v>
          </cell>
          <cell r="AA972" t="b">
            <v>0</v>
          </cell>
        </row>
        <row r="973">
          <cell r="Z973" t="b">
            <v>0</v>
          </cell>
          <cell r="AA973" t="b">
            <v>0</v>
          </cell>
        </row>
        <row r="974">
          <cell r="Z974" t="b">
            <v>0</v>
          </cell>
          <cell r="AA974" t="b">
            <v>0</v>
          </cell>
        </row>
        <row r="975">
          <cell r="Z975" t="b">
            <v>0</v>
          </cell>
          <cell r="AA975" t="b">
            <v>0</v>
          </cell>
        </row>
        <row r="976">
          <cell r="Z976" t="b">
            <v>0</v>
          </cell>
          <cell r="AA976" t="b">
            <v>0</v>
          </cell>
        </row>
        <row r="977">
          <cell r="Z977" t="b">
            <v>0</v>
          </cell>
          <cell r="AA977" t="b">
            <v>0</v>
          </cell>
        </row>
        <row r="978">
          <cell r="Z978" t="b">
            <v>0</v>
          </cell>
          <cell r="AA978" t="b">
            <v>0</v>
          </cell>
        </row>
        <row r="979">
          <cell r="Z979" t="b">
            <v>0</v>
          </cell>
          <cell r="AA979" t="b">
            <v>0</v>
          </cell>
        </row>
        <row r="980">
          <cell r="Z980" t="b">
            <v>0</v>
          </cell>
          <cell r="AA980" t="b">
            <v>0</v>
          </cell>
        </row>
        <row r="981">
          <cell r="Z981" t="b">
            <v>0</v>
          </cell>
          <cell r="AA981" t="b">
            <v>0</v>
          </cell>
        </row>
        <row r="982">
          <cell r="Z982" t="b">
            <v>0</v>
          </cell>
          <cell r="AA982" t="b">
            <v>0</v>
          </cell>
        </row>
        <row r="983">
          <cell r="Z983" t="b">
            <v>0</v>
          </cell>
          <cell r="AA983" t="b">
            <v>0</v>
          </cell>
        </row>
        <row r="984">
          <cell r="Z984" t="b">
            <v>0</v>
          </cell>
          <cell r="AA984" t="b">
            <v>0</v>
          </cell>
        </row>
        <row r="985">
          <cell r="Z985" t="b">
            <v>0</v>
          </cell>
          <cell r="AA985" t="b">
            <v>0</v>
          </cell>
        </row>
        <row r="986">
          <cell r="Z986" t="b">
            <v>0</v>
          </cell>
          <cell r="AA986" t="b">
            <v>0</v>
          </cell>
        </row>
        <row r="987">
          <cell r="Z987" t="b">
            <v>0</v>
          </cell>
          <cell r="AA987" t="b">
            <v>0</v>
          </cell>
        </row>
        <row r="988">
          <cell r="Z988" t="b">
            <v>0</v>
          </cell>
          <cell r="AA988" t="b">
            <v>0</v>
          </cell>
        </row>
        <row r="989">
          <cell r="Z989" t="b">
            <v>0</v>
          </cell>
          <cell r="AA989" t="b">
            <v>0</v>
          </cell>
        </row>
        <row r="990">
          <cell r="Z990" t="b">
            <v>0</v>
          </cell>
          <cell r="AA990" t="b">
            <v>0</v>
          </cell>
        </row>
        <row r="991">
          <cell r="Z991" t="b">
            <v>0</v>
          </cell>
          <cell r="AA991" t="b">
            <v>0</v>
          </cell>
        </row>
        <row r="992">
          <cell r="Z992" t="b">
            <v>0</v>
          </cell>
          <cell r="AA992" t="b">
            <v>0</v>
          </cell>
        </row>
        <row r="993">
          <cell r="Z993" t="b">
            <v>0</v>
          </cell>
          <cell r="AA993" t="b">
            <v>0</v>
          </cell>
        </row>
        <row r="994">
          <cell r="Z994" t="b">
            <v>0</v>
          </cell>
          <cell r="AA994" t="b">
            <v>0</v>
          </cell>
        </row>
        <row r="995">
          <cell r="Z995" t="b">
            <v>0</v>
          </cell>
          <cell r="AA995" t="b">
            <v>0</v>
          </cell>
        </row>
        <row r="996">
          <cell r="Z996" t="b">
            <v>0</v>
          </cell>
          <cell r="AA996" t="b">
            <v>0</v>
          </cell>
        </row>
        <row r="997">
          <cell r="Z997" t="b">
            <v>0</v>
          </cell>
          <cell r="AA997" t="b">
            <v>0</v>
          </cell>
        </row>
        <row r="998">
          <cell r="Z998" t="b">
            <v>0</v>
          </cell>
          <cell r="AA998" t="b">
            <v>0</v>
          </cell>
        </row>
        <row r="999">
          <cell r="Z999" t="b">
            <v>0</v>
          </cell>
          <cell r="AA999" t="b">
            <v>0</v>
          </cell>
        </row>
        <row r="1000">
          <cell r="Z1000" t="b">
            <v>0</v>
          </cell>
          <cell r="AA1000" t="b">
            <v>0</v>
          </cell>
        </row>
        <row r="1001">
          <cell r="Z1001" t="b">
            <v>0</v>
          </cell>
          <cell r="AA1001" t="b">
            <v>0</v>
          </cell>
        </row>
        <row r="1002">
          <cell r="Z1002" t="b">
            <v>0</v>
          </cell>
          <cell r="AA1002" t="b">
            <v>0</v>
          </cell>
        </row>
        <row r="1003">
          <cell r="Z1003" t="b">
            <v>0</v>
          </cell>
          <cell r="AA1003" t="b">
            <v>0</v>
          </cell>
        </row>
        <row r="1004">
          <cell r="Z1004" t="b">
            <v>0</v>
          </cell>
          <cell r="AA1004" t="b">
            <v>0</v>
          </cell>
        </row>
        <row r="1005">
          <cell r="Z1005" t="b">
            <v>0</v>
          </cell>
          <cell r="AA1005" t="b">
            <v>0</v>
          </cell>
        </row>
        <row r="1006">
          <cell r="Z1006" t="b">
            <v>0</v>
          </cell>
          <cell r="AA1006" t="b">
            <v>0</v>
          </cell>
        </row>
        <row r="1007">
          <cell r="Z1007" t="b">
            <v>0</v>
          </cell>
          <cell r="AA1007" t="b">
            <v>0</v>
          </cell>
        </row>
        <row r="1008">
          <cell r="Z1008" t="b">
            <v>0</v>
          </cell>
          <cell r="AA1008" t="b">
            <v>0</v>
          </cell>
        </row>
        <row r="1009">
          <cell r="Z1009" t="b">
            <v>0</v>
          </cell>
          <cell r="AA1009" t="b">
            <v>0</v>
          </cell>
        </row>
        <row r="1010">
          <cell r="Z1010" t="b">
            <v>0</v>
          </cell>
          <cell r="AA1010" t="b">
            <v>0</v>
          </cell>
        </row>
        <row r="1011">
          <cell r="Z1011" t="b">
            <v>0</v>
          </cell>
          <cell r="AA1011" t="b">
            <v>0</v>
          </cell>
        </row>
        <row r="1012">
          <cell r="Z1012" t="b">
            <v>0</v>
          </cell>
          <cell r="AA1012" t="b">
            <v>0</v>
          </cell>
        </row>
        <row r="1013">
          <cell r="Z1013" t="b">
            <v>0</v>
          </cell>
          <cell r="AA1013" t="b">
            <v>0</v>
          </cell>
        </row>
        <row r="1014">
          <cell r="Z1014" t="b">
            <v>0</v>
          </cell>
          <cell r="AA1014" t="b">
            <v>0</v>
          </cell>
        </row>
        <row r="1015">
          <cell r="Z1015" t="b">
            <v>0</v>
          </cell>
          <cell r="AA1015" t="b">
            <v>0</v>
          </cell>
        </row>
        <row r="1016">
          <cell r="Z1016" t="b">
            <v>0</v>
          </cell>
          <cell r="AA1016" t="b">
            <v>0</v>
          </cell>
        </row>
        <row r="1017">
          <cell r="Z1017" t="b">
            <v>0</v>
          </cell>
          <cell r="AA1017" t="b">
            <v>0</v>
          </cell>
        </row>
        <row r="1018">
          <cell r="Z1018" t="b">
            <v>0</v>
          </cell>
          <cell r="AA1018" t="b">
            <v>0</v>
          </cell>
        </row>
        <row r="1019">
          <cell r="Z1019" t="b">
            <v>0</v>
          </cell>
          <cell r="AA1019" t="b">
            <v>0</v>
          </cell>
        </row>
        <row r="1020">
          <cell r="Z1020" t="b">
            <v>0</v>
          </cell>
          <cell r="AA1020" t="b">
            <v>0</v>
          </cell>
        </row>
        <row r="1021">
          <cell r="Z1021" t="b">
            <v>0</v>
          </cell>
          <cell r="AA1021" t="b">
            <v>0</v>
          </cell>
        </row>
        <row r="1022">
          <cell r="Z1022" t="b">
            <v>0</v>
          </cell>
          <cell r="AA1022" t="b">
            <v>0</v>
          </cell>
        </row>
        <row r="1023">
          <cell r="Z1023" t="b">
            <v>0</v>
          </cell>
          <cell r="AA1023" t="b">
            <v>0</v>
          </cell>
        </row>
        <row r="1024">
          <cell r="Z1024" t="b">
            <v>0</v>
          </cell>
          <cell r="AA1024" t="b">
            <v>0</v>
          </cell>
        </row>
        <row r="1025">
          <cell r="Z1025" t="b">
            <v>0</v>
          </cell>
          <cell r="AA1025" t="b">
            <v>0</v>
          </cell>
        </row>
        <row r="1026">
          <cell r="Z1026" t="b">
            <v>0</v>
          </cell>
          <cell r="AA1026" t="b">
            <v>0</v>
          </cell>
        </row>
        <row r="1027">
          <cell r="Z1027" t="b">
            <v>0</v>
          </cell>
          <cell r="AA1027" t="b">
            <v>0</v>
          </cell>
        </row>
        <row r="1028">
          <cell r="Z1028" t="b">
            <v>0</v>
          </cell>
          <cell r="AA1028" t="b">
            <v>0</v>
          </cell>
        </row>
        <row r="1029">
          <cell r="Z1029" t="b">
            <v>0</v>
          </cell>
          <cell r="AA1029" t="b">
            <v>0</v>
          </cell>
        </row>
        <row r="1030">
          <cell r="Z1030" t="b">
            <v>0</v>
          </cell>
          <cell r="AA1030" t="b">
            <v>0</v>
          </cell>
        </row>
        <row r="1031">
          <cell r="Z1031" t="b">
            <v>0</v>
          </cell>
          <cell r="AA1031" t="b">
            <v>0</v>
          </cell>
        </row>
        <row r="1032">
          <cell r="Z1032" t="b">
            <v>0</v>
          </cell>
          <cell r="AA1032" t="b">
            <v>0</v>
          </cell>
        </row>
        <row r="1033">
          <cell r="Z1033" t="b">
            <v>0</v>
          </cell>
          <cell r="AA1033" t="b">
            <v>0</v>
          </cell>
        </row>
        <row r="1034">
          <cell r="Z1034" t="b">
            <v>0</v>
          </cell>
          <cell r="AA1034" t="b">
            <v>0</v>
          </cell>
        </row>
        <row r="1035">
          <cell r="Z1035" t="b">
            <v>0</v>
          </cell>
          <cell r="AA1035" t="b">
            <v>0</v>
          </cell>
        </row>
        <row r="1036">
          <cell r="Z1036" t="b">
            <v>0</v>
          </cell>
          <cell r="AA1036" t="b">
            <v>0</v>
          </cell>
        </row>
        <row r="1037">
          <cell r="Z1037" t="b">
            <v>0</v>
          </cell>
          <cell r="AA1037" t="b">
            <v>0</v>
          </cell>
        </row>
        <row r="1038">
          <cell r="Z1038" t="b">
            <v>0</v>
          </cell>
          <cell r="AA1038" t="b">
            <v>0</v>
          </cell>
        </row>
        <row r="1039">
          <cell r="Z1039" t="b">
            <v>0</v>
          </cell>
          <cell r="AA1039" t="b">
            <v>0</v>
          </cell>
        </row>
        <row r="1040">
          <cell r="Z1040" t="b">
            <v>0</v>
          </cell>
          <cell r="AA1040" t="b">
            <v>0</v>
          </cell>
        </row>
        <row r="1041">
          <cell r="Z1041" t="b">
            <v>0</v>
          </cell>
          <cell r="AA1041" t="b">
            <v>0</v>
          </cell>
        </row>
        <row r="1042">
          <cell r="Z1042" t="b">
            <v>0</v>
          </cell>
          <cell r="AA1042" t="b">
            <v>0</v>
          </cell>
        </row>
        <row r="1043">
          <cell r="Z1043" t="b">
            <v>0</v>
          </cell>
          <cell r="AA1043" t="b">
            <v>0</v>
          </cell>
        </row>
        <row r="1044">
          <cell r="Z1044" t="b">
            <v>0</v>
          </cell>
          <cell r="AA1044" t="b">
            <v>0</v>
          </cell>
        </row>
        <row r="1045">
          <cell r="Z1045" t="b">
            <v>0</v>
          </cell>
          <cell r="AA1045" t="b">
            <v>0</v>
          </cell>
        </row>
        <row r="1046">
          <cell r="Z1046" t="b">
            <v>0</v>
          </cell>
          <cell r="AA1046" t="b">
            <v>0</v>
          </cell>
        </row>
        <row r="1047">
          <cell r="Z1047" t="b">
            <v>0</v>
          </cell>
          <cell r="AA1047" t="b">
            <v>0</v>
          </cell>
        </row>
        <row r="1048">
          <cell r="Z1048" t="b">
            <v>0</v>
          </cell>
          <cell r="AA1048" t="b">
            <v>0</v>
          </cell>
        </row>
        <row r="1049">
          <cell r="Z1049" t="b">
            <v>0</v>
          </cell>
          <cell r="AA1049" t="b">
            <v>0</v>
          </cell>
        </row>
        <row r="1050">
          <cell r="Z1050" t="b">
            <v>0</v>
          </cell>
          <cell r="AA1050" t="b">
            <v>0</v>
          </cell>
        </row>
        <row r="1051">
          <cell r="Z1051" t="b">
            <v>0</v>
          </cell>
          <cell r="AA1051" t="b">
            <v>0</v>
          </cell>
        </row>
        <row r="1052">
          <cell r="Z1052" t="b">
            <v>0</v>
          </cell>
          <cell r="AA1052" t="b">
            <v>0</v>
          </cell>
        </row>
        <row r="1053">
          <cell r="Z1053" t="b">
            <v>0</v>
          </cell>
          <cell r="AA1053" t="b">
            <v>0</v>
          </cell>
        </row>
        <row r="1054">
          <cell r="Z1054" t="b">
            <v>0</v>
          </cell>
          <cell r="AA1054" t="b">
            <v>0</v>
          </cell>
        </row>
        <row r="1055">
          <cell r="Z1055" t="b">
            <v>0</v>
          </cell>
          <cell r="AA1055" t="b">
            <v>0</v>
          </cell>
        </row>
        <row r="1056">
          <cell r="Z1056" t="b">
            <v>0</v>
          </cell>
          <cell r="AA1056" t="b">
            <v>0</v>
          </cell>
        </row>
        <row r="1057">
          <cell r="Z1057" t="b">
            <v>0</v>
          </cell>
          <cell r="AA1057" t="b">
            <v>0</v>
          </cell>
        </row>
        <row r="1058">
          <cell r="Z1058" t="b">
            <v>0</v>
          </cell>
          <cell r="AA1058" t="b">
            <v>0</v>
          </cell>
        </row>
        <row r="1059">
          <cell r="Z1059" t="b">
            <v>0</v>
          </cell>
          <cell r="AA1059" t="b">
            <v>0</v>
          </cell>
        </row>
        <row r="1060">
          <cell r="Z1060" t="b">
            <v>0</v>
          </cell>
          <cell r="AA1060" t="b">
            <v>0</v>
          </cell>
        </row>
        <row r="1061">
          <cell r="Z1061" t="b">
            <v>0</v>
          </cell>
          <cell r="AA1061" t="b">
            <v>0</v>
          </cell>
        </row>
        <row r="1062">
          <cell r="Z1062" t="b">
            <v>0</v>
          </cell>
          <cell r="AA1062" t="b">
            <v>0</v>
          </cell>
        </row>
        <row r="1063">
          <cell r="Z1063" t="b">
            <v>0</v>
          </cell>
          <cell r="AA1063" t="b">
            <v>0</v>
          </cell>
        </row>
        <row r="1064">
          <cell r="Z1064" t="b">
            <v>0</v>
          </cell>
          <cell r="AA1064" t="b">
            <v>0</v>
          </cell>
        </row>
        <row r="1065">
          <cell r="Z1065" t="b">
            <v>0</v>
          </cell>
          <cell r="AA1065" t="b">
            <v>0</v>
          </cell>
        </row>
        <row r="1066">
          <cell r="Z1066" t="b">
            <v>0</v>
          </cell>
          <cell r="AA1066" t="b">
            <v>0</v>
          </cell>
        </row>
        <row r="1067">
          <cell r="Z1067" t="b">
            <v>0</v>
          </cell>
          <cell r="AA1067" t="b">
            <v>0</v>
          </cell>
        </row>
        <row r="1068">
          <cell r="Z1068" t="b">
            <v>0</v>
          </cell>
          <cell r="AA1068" t="b">
            <v>0</v>
          </cell>
        </row>
        <row r="1069">
          <cell r="Z1069" t="b">
            <v>0</v>
          </cell>
          <cell r="AA1069" t="b">
            <v>0</v>
          </cell>
        </row>
        <row r="1070">
          <cell r="Z1070" t="b">
            <v>0</v>
          </cell>
          <cell r="AA1070" t="b">
            <v>0</v>
          </cell>
        </row>
        <row r="1071">
          <cell r="Z1071" t="b">
            <v>0</v>
          </cell>
          <cell r="AA1071" t="b">
            <v>0</v>
          </cell>
        </row>
        <row r="1072">
          <cell r="Z1072" t="b">
            <v>0</v>
          </cell>
          <cell r="AA1072" t="b">
            <v>0</v>
          </cell>
        </row>
        <row r="1073">
          <cell r="Z1073" t="b">
            <v>0</v>
          </cell>
          <cell r="AA1073" t="b">
            <v>0</v>
          </cell>
        </row>
        <row r="1074">
          <cell r="Z1074" t="b">
            <v>0</v>
          </cell>
          <cell r="AA1074" t="b">
            <v>0</v>
          </cell>
        </row>
        <row r="1075">
          <cell r="Z1075" t="b">
            <v>0</v>
          </cell>
          <cell r="AA1075" t="b">
            <v>0</v>
          </cell>
        </row>
        <row r="1076">
          <cell r="Z1076" t="b">
            <v>0</v>
          </cell>
          <cell r="AA1076" t="b">
            <v>0</v>
          </cell>
        </row>
        <row r="1077">
          <cell r="Z1077" t="b">
            <v>0</v>
          </cell>
          <cell r="AA1077" t="b">
            <v>0</v>
          </cell>
        </row>
        <row r="1078">
          <cell r="Z1078" t="b">
            <v>0</v>
          </cell>
          <cell r="AA1078" t="b">
            <v>0</v>
          </cell>
        </row>
        <row r="1079">
          <cell r="Z1079" t="b">
            <v>0</v>
          </cell>
          <cell r="AA1079" t="b">
            <v>0</v>
          </cell>
        </row>
        <row r="1080">
          <cell r="Z1080" t="b">
            <v>0</v>
          </cell>
          <cell r="AA1080" t="b">
            <v>0</v>
          </cell>
        </row>
        <row r="1081">
          <cell r="Z1081" t="b">
            <v>0</v>
          </cell>
          <cell r="AA1081" t="b">
            <v>0</v>
          </cell>
        </row>
        <row r="1082">
          <cell r="Z1082" t="b">
            <v>0</v>
          </cell>
          <cell r="AA1082" t="b">
            <v>0</v>
          </cell>
        </row>
        <row r="1083">
          <cell r="Z1083" t="b">
            <v>0</v>
          </cell>
          <cell r="AA1083" t="b">
            <v>0</v>
          </cell>
        </row>
        <row r="1084">
          <cell r="Z1084" t="b">
            <v>0</v>
          </cell>
          <cell r="AA1084" t="b">
            <v>0</v>
          </cell>
        </row>
        <row r="1085">
          <cell r="Z1085" t="b">
            <v>0</v>
          </cell>
          <cell r="AA1085" t="b">
            <v>0</v>
          </cell>
        </row>
        <row r="1086">
          <cell r="Z1086" t="b">
            <v>0</v>
          </cell>
          <cell r="AA1086" t="b">
            <v>0</v>
          </cell>
        </row>
        <row r="1087">
          <cell r="Z1087" t="b">
            <v>0</v>
          </cell>
          <cell r="AA1087" t="b">
            <v>0</v>
          </cell>
        </row>
        <row r="1088">
          <cell r="Z1088" t="b">
            <v>0</v>
          </cell>
          <cell r="AA1088" t="b">
            <v>0</v>
          </cell>
        </row>
        <row r="1089">
          <cell r="Z1089" t="b">
            <v>0</v>
          </cell>
          <cell r="AA1089" t="b">
            <v>0</v>
          </cell>
        </row>
        <row r="1090">
          <cell r="Z1090" t="b">
            <v>0</v>
          </cell>
          <cell r="AA1090" t="b">
            <v>0</v>
          </cell>
        </row>
        <row r="1091">
          <cell r="Z1091" t="b">
            <v>0</v>
          </cell>
          <cell r="AA1091" t="b">
            <v>0</v>
          </cell>
        </row>
        <row r="1092">
          <cell r="Z1092" t="b">
            <v>0</v>
          </cell>
          <cell r="AA1092" t="b">
            <v>0</v>
          </cell>
        </row>
        <row r="1093">
          <cell r="Z1093" t="b">
            <v>0</v>
          </cell>
          <cell r="AA1093" t="b">
            <v>0</v>
          </cell>
        </row>
        <row r="1094">
          <cell r="Z1094" t="b">
            <v>0</v>
          </cell>
          <cell r="AA1094" t="b">
            <v>0</v>
          </cell>
        </row>
        <row r="1095">
          <cell r="Z1095" t="b">
            <v>0</v>
          </cell>
          <cell r="AA1095" t="b">
            <v>0</v>
          </cell>
        </row>
        <row r="1096">
          <cell r="Z1096" t="b">
            <v>0</v>
          </cell>
          <cell r="AA1096" t="b">
            <v>0</v>
          </cell>
        </row>
        <row r="1097">
          <cell r="Z1097" t="b">
            <v>0</v>
          </cell>
          <cell r="AA1097" t="b">
            <v>0</v>
          </cell>
        </row>
        <row r="1098">
          <cell r="Z1098" t="b">
            <v>0</v>
          </cell>
          <cell r="AA1098" t="b">
            <v>0</v>
          </cell>
        </row>
        <row r="1099">
          <cell r="Z1099" t="b">
            <v>0</v>
          </cell>
          <cell r="AA1099" t="b">
            <v>0</v>
          </cell>
        </row>
        <row r="1100">
          <cell r="Z1100" t="b">
            <v>0</v>
          </cell>
          <cell r="AA1100" t="b">
            <v>0</v>
          </cell>
        </row>
        <row r="1101">
          <cell r="Z1101" t="b">
            <v>0</v>
          </cell>
          <cell r="AA1101" t="b">
            <v>0</v>
          </cell>
        </row>
        <row r="1102">
          <cell r="Z1102" t="b">
            <v>0</v>
          </cell>
          <cell r="AA1102" t="b">
            <v>0</v>
          </cell>
        </row>
        <row r="1103">
          <cell r="Z1103" t="b">
            <v>0</v>
          </cell>
          <cell r="AA1103" t="b">
            <v>0</v>
          </cell>
        </row>
        <row r="1104">
          <cell r="Z1104" t="b">
            <v>0</v>
          </cell>
          <cell r="AA1104" t="b">
            <v>0</v>
          </cell>
        </row>
        <row r="1105">
          <cell r="Z1105" t="b">
            <v>0</v>
          </cell>
          <cell r="AA1105" t="b">
            <v>0</v>
          </cell>
        </row>
        <row r="1106">
          <cell r="Z1106" t="b">
            <v>0</v>
          </cell>
          <cell r="AA1106" t="b">
            <v>0</v>
          </cell>
        </row>
        <row r="1107">
          <cell r="Z1107" t="b">
            <v>0</v>
          </cell>
          <cell r="AA1107" t="b">
            <v>0</v>
          </cell>
        </row>
        <row r="1108">
          <cell r="Z1108" t="b">
            <v>0</v>
          </cell>
          <cell r="AA1108" t="b">
            <v>0</v>
          </cell>
        </row>
        <row r="1109">
          <cell r="Z1109" t="b">
            <v>0</v>
          </cell>
          <cell r="AA1109" t="b">
            <v>0</v>
          </cell>
        </row>
        <row r="1110">
          <cell r="Z1110" t="b">
            <v>0</v>
          </cell>
          <cell r="AA1110" t="b">
            <v>0</v>
          </cell>
        </row>
        <row r="1111">
          <cell r="Z1111" t="b">
            <v>0</v>
          </cell>
          <cell r="AA1111" t="b">
            <v>0</v>
          </cell>
        </row>
        <row r="1112">
          <cell r="Z1112" t="b">
            <v>0</v>
          </cell>
          <cell r="AA1112" t="b">
            <v>0</v>
          </cell>
        </row>
        <row r="1113">
          <cell r="Z1113" t="b">
            <v>0</v>
          </cell>
          <cell r="AA1113" t="b">
            <v>0</v>
          </cell>
        </row>
        <row r="1114">
          <cell r="Z1114" t="b">
            <v>0</v>
          </cell>
          <cell r="AA1114" t="b">
            <v>0</v>
          </cell>
        </row>
        <row r="1115">
          <cell r="Z1115" t="b">
            <v>0</v>
          </cell>
          <cell r="AA1115" t="b">
            <v>0</v>
          </cell>
        </row>
        <row r="1116">
          <cell r="Z1116" t="b">
            <v>0</v>
          </cell>
          <cell r="AA1116" t="b">
            <v>0</v>
          </cell>
        </row>
        <row r="1117">
          <cell r="Z1117" t="b">
            <v>0</v>
          </cell>
          <cell r="AA1117" t="b">
            <v>0</v>
          </cell>
        </row>
        <row r="1118">
          <cell r="Z1118" t="b">
            <v>0</v>
          </cell>
          <cell r="AA1118" t="b">
            <v>0</v>
          </cell>
        </row>
        <row r="1119">
          <cell r="Z1119" t="b">
            <v>0</v>
          </cell>
          <cell r="AA1119" t="b">
            <v>0</v>
          </cell>
        </row>
        <row r="1120">
          <cell r="Z1120" t="b">
            <v>0</v>
          </cell>
          <cell r="AA1120" t="b">
            <v>0</v>
          </cell>
        </row>
        <row r="1121">
          <cell r="Z1121" t="b">
            <v>0</v>
          </cell>
          <cell r="AA1121" t="b">
            <v>0</v>
          </cell>
        </row>
        <row r="1122">
          <cell r="Z1122" t="b">
            <v>0</v>
          </cell>
          <cell r="AA1122" t="b">
            <v>0</v>
          </cell>
        </row>
        <row r="1123">
          <cell r="Z1123" t="b">
            <v>0</v>
          </cell>
          <cell r="AA1123" t="b">
            <v>0</v>
          </cell>
        </row>
        <row r="1124">
          <cell r="Z1124" t="b">
            <v>0</v>
          </cell>
          <cell r="AA1124" t="b">
            <v>0</v>
          </cell>
        </row>
        <row r="1125">
          <cell r="Z1125" t="b">
            <v>0</v>
          </cell>
          <cell r="AA1125" t="b">
            <v>0</v>
          </cell>
        </row>
        <row r="1126">
          <cell r="Z1126" t="b">
            <v>0</v>
          </cell>
          <cell r="AA1126" t="b">
            <v>0</v>
          </cell>
        </row>
        <row r="1127">
          <cell r="Z1127" t="b">
            <v>0</v>
          </cell>
          <cell r="AA1127" t="b">
            <v>0</v>
          </cell>
        </row>
        <row r="1128">
          <cell r="Z1128" t="b">
            <v>0</v>
          </cell>
          <cell r="AA1128" t="b">
            <v>0</v>
          </cell>
        </row>
        <row r="1129">
          <cell r="Z1129" t="b">
            <v>0</v>
          </cell>
          <cell r="AA1129" t="b">
            <v>0</v>
          </cell>
        </row>
        <row r="1130">
          <cell r="Z1130" t="b">
            <v>0</v>
          </cell>
          <cell r="AA1130" t="b">
            <v>0</v>
          </cell>
        </row>
        <row r="1131">
          <cell r="Z1131" t="b">
            <v>0</v>
          </cell>
          <cell r="AA1131" t="b">
            <v>0</v>
          </cell>
        </row>
        <row r="1132">
          <cell r="Z1132" t="b">
            <v>0</v>
          </cell>
          <cell r="AA1132" t="b">
            <v>0</v>
          </cell>
        </row>
        <row r="1133">
          <cell r="Z1133" t="b">
            <v>0</v>
          </cell>
          <cell r="AA1133" t="b">
            <v>0</v>
          </cell>
        </row>
        <row r="1134">
          <cell r="Z1134" t="b">
            <v>0</v>
          </cell>
          <cell r="AA1134" t="b">
            <v>0</v>
          </cell>
        </row>
        <row r="1135">
          <cell r="Z1135" t="b">
            <v>0</v>
          </cell>
          <cell r="AA1135" t="b">
            <v>0</v>
          </cell>
        </row>
        <row r="1136">
          <cell r="Z1136" t="b">
            <v>0</v>
          </cell>
          <cell r="AA1136" t="b">
            <v>0</v>
          </cell>
        </row>
        <row r="1137">
          <cell r="Z1137" t="b">
            <v>0</v>
          </cell>
          <cell r="AA1137" t="b">
            <v>0</v>
          </cell>
        </row>
        <row r="1138">
          <cell r="Z1138" t="b">
            <v>0</v>
          </cell>
          <cell r="AA1138" t="b">
            <v>0</v>
          </cell>
        </row>
        <row r="1139">
          <cell r="Z1139" t="b">
            <v>0</v>
          </cell>
          <cell r="AA1139" t="b">
            <v>0</v>
          </cell>
        </row>
        <row r="1140">
          <cell r="Z1140" t="b">
            <v>0</v>
          </cell>
          <cell r="AA1140" t="b">
            <v>0</v>
          </cell>
        </row>
        <row r="1141">
          <cell r="Z1141" t="b">
            <v>0</v>
          </cell>
          <cell r="AA1141" t="b">
            <v>0</v>
          </cell>
        </row>
        <row r="1142">
          <cell r="Z1142" t="b">
            <v>0</v>
          </cell>
          <cell r="AA1142" t="b">
            <v>0</v>
          </cell>
        </row>
        <row r="1143">
          <cell r="Z1143" t="b">
            <v>0</v>
          </cell>
          <cell r="AA1143" t="b">
            <v>0</v>
          </cell>
        </row>
        <row r="1144">
          <cell r="Z1144" t="b">
            <v>0</v>
          </cell>
          <cell r="AA1144" t="b">
            <v>0</v>
          </cell>
        </row>
        <row r="1145">
          <cell r="Z1145" t="b">
            <v>0</v>
          </cell>
          <cell r="AA1145" t="b">
            <v>0</v>
          </cell>
        </row>
        <row r="1146">
          <cell r="Z1146" t="b">
            <v>0</v>
          </cell>
          <cell r="AA1146" t="b">
            <v>0</v>
          </cell>
        </row>
        <row r="1147">
          <cell r="Z1147" t="b">
            <v>0</v>
          </cell>
          <cell r="AA1147" t="b">
            <v>0</v>
          </cell>
        </row>
        <row r="1148">
          <cell r="Z1148" t="b">
            <v>0</v>
          </cell>
          <cell r="AA1148" t="b">
            <v>0</v>
          </cell>
        </row>
        <row r="1149">
          <cell r="Z1149" t="b">
            <v>0</v>
          </cell>
          <cell r="AA1149" t="b">
            <v>0</v>
          </cell>
        </row>
        <row r="1150">
          <cell r="Z1150" t="b">
            <v>0</v>
          </cell>
          <cell r="AA1150" t="b">
            <v>0</v>
          </cell>
        </row>
        <row r="1151">
          <cell r="Z1151" t="b">
            <v>0</v>
          </cell>
          <cell r="AA1151" t="b">
            <v>0</v>
          </cell>
        </row>
        <row r="1152">
          <cell r="Z1152" t="b">
            <v>0</v>
          </cell>
          <cell r="AA1152" t="b">
            <v>0</v>
          </cell>
        </row>
        <row r="1153">
          <cell r="Z1153" t="b">
            <v>0</v>
          </cell>
          <cell r="AA1153" t="b">
            <v>0</v>
          </cell>
        </row>
        <row r="1154">
          <cell r="Z1154" t="b">
            <v>0</v>
          </cell>
          <cell r="AA1154" t="b">
            <v>0</v>
          </cell>
        </row>
        <row r="1155">
          <cell r="Z1155" t="b">
            <v>0</v>
          </cell>
          <cell r="AA1155" t="b">
            <v>0</v>
          </cell>
        </row>
        <row r="1156">
          <cell r="Z1156" t="b">
            <v>0</v>
          </cell>
          <cell r="AA1156" t="b">
            <v>0</v>
          </cell>
        </row>
        <row r="1157">
          <cell r="Z1157" t="b">
            <v>0</v>
          </cell>
          <cell r="AA1157" t="b">
            <v>0</v>
          </cell>
        </row>
        <row r="1158">
          <cell r="Z1158" t="b">
            <v>0</v>
          </cell>
          <cell r="AA1158" t="b">
            <v>0</v>
          </cell>
        </row>
        <row r="1159">
          <cell r="Z1159" t="b">
            <v>0</v>
          </cell>
          <cell r="AA1159" t="b">
            <v>0</v>
          </cell>
        </row>
        <row r="1160">
          <cell r="Z1160" t="b">
            <v>0</v>
          </cell>
          <cell r="AA1160" t="b">
            <v>0</v>
          </cell>
        </row>
        <row r="1161">
          <cell r="Z1161" t="b">
            <v>0</v>
          </cell>
          <cell r="AA1161" t="b">
            <v>0</v>
          </cell>
        </row>
        <row r="1162">
          <cell r="Z1162" t="b">
            <v>0</v>
          </cell>
          <cell r="AA1162" t="b">
            <v>0</v>
          </cell>
        </row>
        <row r="1163">
          <cell r="Z1163" t="b">
            <v>0</v>
          </cell>
          <cell r="AA1163" t="b">
            <v>0</v>
          </cell>
        </row>
        <row r="1164">
          <cell r="Z1164" t="b">
            <v>0</v>
          </cell>
          <cell r="AA1164" t="b">
            <v>0</v>
          </cell>
        </row>
        <row r="1165">
          <cell r="Z1165" t="b">
            <v>0</v>
          </cell>
          <cell r="AA1165" t="b">
            <v>0</v>
          </cell>
        </row>
        <row r="1166">
          <cell r="Z1166" t="b">
            <v>0</v>
          </cell>
          <cell r="AA1166" t="b">
            <v>0</v>
          </cell>
        </row>
        <row r="1167">
          <cell r="Z1167" t="b">
            <v>0</v>
          </cell>
          <cell r="AA1167" t="b">
            <v>0</v>
          </cell>
        </row>
        <row r="1168">
          <cell r="Z1168" t="b">
            <v>0</v>
          </cell>
          <cell r="AA1168" t="b">
            <v>0</v>
          </cell>
        </row>
        <row r="1169">
          <cell r="Z1169" t="b">
            <v>0</v>
          </cell>
          <cell r="AA1169" t="b">
            <v>0</v>
          </cell>
        </row>
        <row r="1170">
          <cell r="Z1170" t="b">
            <v>0</v>
          </cell>
          <cell r="AA1170" t="b">
            <v>0</v>
          </cell>
        </row>
        <row r="1171">
          <cell r="Z1171" t="b">
            <v>0</v>
          </cell>
          <cell r="AA1171" t="b">
            <v>0</v>
          </cell>
        </row>
        <row r="1172">
          <cell r="Z1172" t="b">
            <v>0</v>
          </cell>
          <cell r="AA1172" t="b">
            <v>0</v>
          </cell>
        </row>
        <row r="1173">
          <cell r="Z1173" t="b">
            <v>0</v>
          </cell>
          <cell r="AA1173" t="b">
            <v>0</v>
          </cell>
        </row>
        <row r="1174">
          <cell r="Z1174" t="b">
            <v>0</v>
          </cell>
          <cell r="AA1174" t="b">
            <v>0</v>
          </cell>
        </row>
        <row r="1175">
          <cell r="Z1175" t="b">
            <v>0</v>
          </cell>
          <cell r="AA1175" t="b">
            <v>0</v>
          </cell>
        </row>
        <row r="1176">
          <cell r="Z1176" t="b">
            <v>0</v>
          </cell>
          <cell r="AA1176" t="b">
            <v>0</v>
          </cell>
        </row>
        <row r="1177">
          <cell r="Z1177" t="b">
            <v>0</v>
          </cell>
          <cell r="AA1177" t="b">
            <v>0</v>
          </cell>
        </row>
        <row r="1178">
          <cell r="Z1178" t="b">
            <v>0</v>
          </cell>
          <cell r="AA1178" t="b">
            <v>0</v>
          </cell>
        </row>
        <row r="1179">
          <cell r="Z1179" t="b">
            <v>0</v>
          </cell>
          <cell r="AA1179" t="b">
            <v>0</v>
          </cell>
        </row>
        <row r="1180">
          <cell r="Z1180" t="b">
            <v>0</v>
          </cell>
          <cell r="AA1180" t="b">
            <v>0</v>
          </cell>
        </row>
        <row r="1181">
          <cell r="Z1181" t="b">
            <v>0</v>
          </cell>
          <cell r="AA1181" t="b">
            <v>0</v>
          </cell>
        </row>
        <row r="1182">
          <cell r="Z1182" t="b">
            <v>0</v>
          </cell>
          <cell r="AA1182" t="b">
            <v>0</v>
          </cell>
        </row>
        <row r="1183">
          <cell r="Z1183" t="b">
            <v>0</v>
          </cell>
          <cell r="AA1183" t="b">
            <v>0</v>
          </cell>
        </row>
        <row r="1184">
          <cell r="Z1184" t="b">
            <v>0</v>
          </cell>
          <cell r="AA1184" t="b">
            <v>0</v>
          </cell>
        </row>
        <row r="1185">
          <cell r="Z1185" t="b">
            <v>0</v>
          </cell>
          <cell r="AA1185" t="b">
            <v>0</v>
          </cell>
        </row>
        <row r="1186">
          <cell r="Z1186" t="b">
            <v>0</v>
          </cell>
          <cell r="AA1186" t="b">
            <v>0</v>
          </cell>
        </row>
        <row r="1187">
          <cell r="Z1187" t="b">
            <v>0</v>
          </cell>
          <cell r="AA1187" t="b">
            <v>0</v>
          </cell>
        </row>
        <row r="1188">
          <cell r="Z1188" t="b">
            <v>0</v>
          </cell>
          <cell r="AA1188" t="b">
            <v>0</v>
          </cell>
        </row>
        <row r="1189">
          <cell r="Z1189" t="b">
            <v>0</v>
          </cell>
          <cell r="AA1189" t="b">
            <v>0</v>
          </cell>
        </row>
        <row r="1190">
          <cell r="Z1190" t="b">
            <v>0</v>
          </cell>
          <cell r="AA1190" t="b">
            <v>0</v>
          </cell>
        </row>
        <row r="1191">
          <cell r="Z1191" t="b">
            <v>0</v>
          </cell>
          <cell r="AA1191" t="b">
            <v>0</v>
          </cell>
        </row>
        <row r="1192">
          <cell r="Z1192" t="b">
            <v>0</v>
          </cell>
          <cell r="AA1192" t="b">
            <v>0</v>
          </cell>
        </row>
        <row r="1193">
          <cell r="Z1193" t="b">
            <v>0</v>
          </cell>
          <cell r="AA1193" t="b">
            <v>0</v>
          </cell>
        </row>
        <row r="1194">
          <cell r="Z1194" t="b">
            <v>0</v>
          </cell>
          <cell r="AA1194" t="b">
            <v>0</v>
          </cell>
        </row>
        <row r="1195">
          <cell r="Z1195" t="b">
            <v>0</v>
          </cell>
          <cell r="AA1195" t="b">
            <v>0</v>
          </cell>
        </row>
        <row r="1196">
          <cell r="Z1196" t="b">
            <v>0</v>
          </cell>
          <cell r="AA1196" t="b">
            <v>0</v>
          </cell>
        </row>
        <row r="1197">
          <cell r="Z1197" t="b">
            <v>0</v>
          </cell>
          <cell r="AA1197" t="b">
            <v>0</v>
          </cell>
        </row>
        <row r="1198">
          <cell r="Z1198" t="b">
            <v>0</v>
          </cell>
          <cell r="AA1198" t="b">
            <v>0</v>
          </cell>
        </row>
        <row r="1199">
          <cell r="Z1199" t="b">
            <v>0</v>
          </cell>
          <cell r="AA1199" t="b">
            <v>0</v>
          </cell>
        </row>
        <row r="1200">
          <cell r="Z1200" t="b">
            <v>0</v>
          </cell>
          <cell r="AA1200" t="b">
            <v>0</v>
          </cell>
        </row>
        <row r="1201">
          <cell r="Z1201" t="b">
            <v>0</v>
          </cell>
          <cell r="AA1201" t="b">
            <v>0</v>
          </cell>
        </row>
        <row r="1202">
          <cell r="Z1202" t="b">
            <v>0</v>
          </cell>
          <cell r="AA1202" t="b">
            <v>0</v>
          </cell>
        </row>
        <row r="1203">
          <cell r="Z1203" t="b">
            <v>0</v>
          </cell>
          <cell r="AA1203" t="b">
            <v>0</v>
          </cell>
        </row>
        <row r="1204">
          <cell r="Z1204" t="b">
            <v>0</v>
          </cell>
          <cell r="AA1204" t="b">
            <v>0</v>
          </cell>
        </row>
        <row r="1205">
          <cell r="Z1205" t="b">
            <v>0</v>
          </cell>
          <cell r="AA1205" t="b">
            <v>0</v>
          </cell>
        </row>
        <row r="1206">
          <cell r="Z1206" t="b">
            <v>0</v>
          </cell>
          <cell r="AA1206" t="b">
            <v>0</v>
          </cell>
        </row>
        <row r="1207">
          <cell r="Z1207" t="b">
            <v>0</v>
          </cell>
          <cell r="AA1207" t="b">
            <v>0</v>
          </cell>
        </row>
        <row r="1208">
          <cell r="Z1208" t="b">
            <v>0</v>
          </cell>
          <cell r="AA1208" t="b">
            <v>0</v>
          </cell>
        </row>
        <row r="1209">
          <cell r="Z1209" t="b">
            <v>0</v>
          </cell>
          <cell r="AA1209" t="b">
            <v>0</v>
          </cell>
        </row>
        <row r="1210">
          <cell r="Z1210" t="b">
            <v>0</v>
          </cell>
          <cell r="AA1210" t="b">
            <v>0</v>
          </cell>
        </row>
        <row r="1211">
          <cell r="Z1211" t="b">
            <v>0</v>
          </cell>
          <cell r="AA1211" t="b">
            <v>0</v>
          </cell>
        </row>
        <row r="1212">
          <cell r="Z1212" t="b">
            <v>0</v>
          </cell>
          <cell r="AA1212" t="b">
            <v>0</v>
          </cell>
        </row>
        <row r="1213">
          <cell r="Z1213" t="b">
            <v>0</v>
          </cell>
          <cell r="AA1213" t="b">
            <v>0</v>
          </cell>
        </row>
        <row r="1214">
          <cell r="Z1214" t="b">
            <v>0</v>
          </cell>
          <cell r="AA1214" t="b">
            <v>0</v>
          </cell>
        </row>
        <row r="1215">
          <cell r="Z1215" t="b">
            <v>0</v>
          </cell>
          <cell r="AA1215" t="b">
            <v>0</v>
          </cell>
        </row>
        <row r="1216">
          <cell r="Z1216" t="b">
            <v>0</v>
          </cell>
          <cell r="AA1216" t="b">
            <v>0</v>
          </cell>
        </row>
        <row r="1217">
          <cell r="Z1217" t="b">
            <v>0</v>
          </cell>
          <cell r="AA1217" t="b">
            <v>0</v>
          </cell>
        </row>
        <row r="1218">
          <cell r="Z1218" t="b">
            <v>0</v>
          </cell>
          <cell r="AA1218" t="b">
            <v>0</v>
          </cell>
        </row>
        <row r="1219">
          <cell r="Z1219" t="b">
            <v>0</v>
          </cell>
          <cell r="AA1219" t="b">
            <v>0</v>
          </cell>
        </row>
        <row r="1220">
          <cell r="Z1220" t="b">
            <v>0</v>
          </cell>
          <cell r="AA1220" t="b">
            <v>0</v>
          </cell>
        </row>
        <row r="1221">
          <cell r="Z1221" t="b">
            <v>0</v>
          </cell>
          <cell r="AA1221" t="b">
            <v>0</v>
          </cell>
        </row>
        <row r="1222">
          <cell r="Z1222" t="b">
            <v>0</v>
          </cell>
          <cell r="AA1222" t="b">
            <v>0</v>
          </cell>
        </row>
        <row r="1223">
          <cell r="Z1223" t="b">
            <v>0</v>
          </cell>
          <cell r="AA1223" t="b">
            <v>0</v>
          </cell>
        </row>
        <row r="1224">
          <cell r="Z1224" t="b">
            <v>0</v>
          </cell>
          <cell r="AA1224" t="b">
            <v>0</v>
          </cell>
        </row>
        <row r="1225">
          <cell r="Z1225" t="b">
            <v>0</v>
          </cell>
          <cell r="AA1225" t="b">
            <v>0</v>
          </cell>
        </row>
        <row r="1226">
          <cell r="Z1226" t="b">
            <v>0</v>
          </cell>
          <cell r="AA1226" t="b">
            <v>0</v>
          </cell>
        </row>
        <row r="1227">
          <cell r="Z1227" t="b">
            <v>0</v>
          </cell>
          <cell r="AA1227" t="b">
            <v>0</v>
          </cell>
        </row>
        <row r="1228">
          <cell r="Z1228" t="b">
            <v>0</v>
          </cell>
          <cell r="AA1228" t="b">
            <v>0</v>
          </cell>
        </row>
        <row r="1229">
          <cell r="Z1229" t="b">
            <v>0</v>
          </cell>
          <cell r="AA1229" t="b">
            <v>0</v>
          </cell>
        </row>
        <row r="1230">
          <cell r="Z1230" t="b">
            <v>0</v>
          </cell>
          <cell r="AA1230" t="b">
            <v>0</v>
          </cell>
        </row>
        <row r="1231">
          <cell r="Z1231" t="b">
            <v>0</v>
          </cell>
          <cell r="AA1231" t="b">
            <v>0</v>
          </cell>
        </row>
      </sheetData>
      <sheetData sheetId="34" refreshError="1">
        <row r="1">
          <cell r="Q1" t="str">
            <v>SmartCharts</v>
          </cell>
        </row>
        <row r="5">
          <cell r="C5" t="str">
            <v>Define value axis here:</v>
          </cell>
        </row>
        <row r="6">
          <cell r="C6" t="str">
            <v>TUP EPS vs. Consensus and Company Guidance</v>
          </cell>
        </row>
        <row r="8">
          <cell r="I8" t="str">
            <v>*** NOTE: You must manually delete legend keys for any unused data columns (click once on the legend, then again on the blank legend key, then press Delete)***</v>
          </cell>
        </row>
        <row r="9">
          <cell r="C9" t="str">
            <v>Input your data here:</v>
          </cell>
        </row>
        <row r="10">
          <cell r="D10">
            <v>0.19468159020600856</v>
          </cell>
          <cell r="E10">
            <v>0.22477136013320909</v>
          </cell>
        </row>
        <row r="11">
          <cell r="D11" t="str">
            <v>Versus Consensus</v>
          </cell>
          <cell r="E11" t="str">
            <v>Versus Mid-Point of TUP Guidance</v>
          </cell>
          <cell r="AA11" t="str">
            <v>Versus Consensus</v>
          </cell>
          <cell r="AB11" t="str">
            <v>Versus Mid-Point of TUP Guidance</v>
          </cell>
          <cell r="AC11" t="str">
            <v/>
          </cell>
          <cell r="AD11" t="str">
            <v/>
          </cell>
          <cell r="AE11" t="str">
            <v/>
          </cell>
        </row>
        <row r="12">
          <cell r="C12" t="str">
            <v>1Q07</v>
          </cell>
          <cell r="D12">
            <v>0.26700000000000002</v>
          </cell>
          <cell r="E12">
            <v>0.28799999999999998</v>
          </cell>
          <cell r="AA12">
            <v>0.26700000000000002</v>
          </cell>
          <cell r="AB12">
            <v>0.28799999999999998</v>
          </cell>
          <cell r="AC12" t="str">
            <v/>
          </cell>
          <cell r="AD12" t="str">
            <v/>
          </cell>
          <cell r="AE12" t="str">
            <v/>
          </cell>
        </row>
        <row r="13">
          <cell r="C13" t="str">
            <v>2Q07</v>
          </cell>
          <cell r="D13">
            <v>0.184</v>
          </cell>
          <cell r="E13">
            <v>0.221</v>
          </cell>
          <cell r="AA13">
            <v>0.184</v>
          </cell>
          <cell r="AB13">
            <v>0.221</v>
          </cell>
          <cell r="AC13" t="str">
            <v/>
          </cell>
          <cell r="AD13" t="str">
            <v/>
          </cell>
          <cell r="AE13" t="str">
            <v/>
          </cell>
        </row>
        <row r="14">
          <cell r="C14" t="str">
            <v>3Q07*</v>
          </cell>
          <cell r="D14">
            <v>0.26900000000000002</v>
          </cell>
          <cell r="E14">
            <v>0.53500000000000003</v>
          </cell>
          <cell r="AA14">
            <v>0.26900000000000002</v>
          </cell>
          <cell r="AB14">
            <v>0.53500000000000003</v>
          </cell>
          <cell r="AC14" t="str">
            <v/>
          </cell>
          <cell r="AD14" t="str">
            <v/>
          </cell>
          <cell r="AE14" t="str">
            <v/>
          </cell>
        </row>
        <row r="15">
          <cell r="C15" t="str">
            <v>4Q07*</v>
          </cell>
          <cell r="D15">
            <v>0.125</v>
          </cell>
          <cell r="E15">
            <v>0.14599999999999999</v>
          </cell>
          <cell r="AA15">
            <v>0.125</v>
          </cell>
          <cell r="AB15">
            <v>0.14599999999999999</v>
          </cell>
          <cell r="AC15" t="str">
            <v/>
          </cell>
          <cell r="AD15" t="str">
            <v/>
          </cell>
          <cell r="AE15" t="str">
            <v/>
          </cell>
        </row>
        <row r="16">
          <cell r="C16" t="str">
            <v>1Q08*</v>
          </cell>
          <cell r="D16">
            <v>0.10199999999999999</v>
          </cell>
          <cell r="E16">
            <v>0.161</v>
          </cell>
          <cell r="AA16">
            <v>0.10199999999999999</v>
          </cell>
          <cell r="AB16">
            <v>0.161</v>
          </cell>
          <cell r="AC16" t="str">
            <v/>
          </cell>
          <cell r="AD16" t="str">
            <v/>
          </cell>
          <cell r="AE16" t="str">
            <v/>
          </cell>
        </row>
        <row r="17">
          <cell r="C17" t="str">
            <v>2Q08*</v>
          </cell>
          <cell r="D17">
            <v>0.09</v>
          </cell>
          <cell r="E17">
            <v>0.13200000000000001</v>
          </cell>
          <cell r="AA17">
            <v>0.09</v>
          </cell>
          <cell r="AB17">
            <v>0.13200000000000001</v>
          </cell>
          <cell r="AC17" t="str">
            <v/>
          </cell>
          <cell r="AD17" t="str">
            <v/>
          </cell>
          <cell r="AE17" t="str">
            <v/>
          </cell>
        </row>
        <row r="18">
          <cell r="C18" t="str">
            <v>3Q08*</v>
          </cell>
          <cell r="D18">
            <v>0.14041899215400799</v>
          </cell>
          <cell r="E18">
            <v>7.1719052867621924E-2</v>
          </cell>
          <cell r="AA18">
            <v>0.14041899215400799</v>
          </cell>
          <cell r="AB18">
            <v>7.1719052867621924E-2</v>
          </cell>
          <cell r="AC18" t="str">
            <v/>
          </cell>
          <cell r="AD18" t="str">
            <v/>
          </cell>
          <cell r="AE18" t="str">
            <v/>
          </cell>
        </row>
        <row r="19">
          <cell r="C19" t="str">
            <v>4Q08*</v>
          </cell>
          <cell r="D19">
            <v>6.7194378207650507E-2</v>
          </cell>
          <cell r="E19">
            <v>1.2634294773951504E-2</v>
          </cell>
          <cell r="AA19">
            <v>6.7194378207650507E-2</v>
          </cell>
          <cell r="AB19">
            <v>1.2634294773951504E-2</v>
          </cell>
          <cell r="AC19" t="str">
            <v/>
          </cell>
          <cell r="AD19" t="str">
            <v/>
          </cell>
          <cell r="AE19" t="str">
            <v/>
          </cell>
        </row>
        <row r="20">
          <cell r="C20" t="str">
            <v>1Q09</v>
          </cell>
          <cell r="D20">
            <v>0.29692295221894716</v>
          </cell>
          <cell r="E20">
            <v>0.23178082191780858</v>
          </cell>
          <cell r="AA20">
            <v>0.29692295221894716</v>
          </cell>
          <cell r="AB20">
            <v>0.23178082191780858</v>
          </cell>
          <cell r="AC20" t="str">
            <v/>
          </cell>
          <cell r="AD20" t="str">
            <v/>
          </cell>
          <cell r="AE20" t="str">
            <v/>
          </cell>
        </row>
        <row r="21">
          <cell r="C21" t="str">
            <v>2Q09</v>
          </cell>
          <cell r="D21">
            <v>0.40527957947948012</v>
          </cell>
          <cell r="E21">
            <v>0.44857943177270876</v>
          </cell>
          <cell r="AA21">
            <v>0.40527957947948012</v>
          </cell>
          <cell r="AB21">
            <v>0.44857943177270876</v>
          </cell>
          <cell r="AC21" t="str">
            <v/>
          </cell>
          <cell r="AD21" t="str">
            <v/>
          </cell>
          <cell r="AE21" t="str">
            <v/>
          </cell>
        </row>
        <row r="22">
          <cell r="AA22" t="str">
            <v/>
          </cell>
          <cell r="AB22" t="str">
            <v/>
          </cell>
          <cell r="AC22" t="str">
            <v/>
          </cell>
          <cell r="AD22" t="str">
            <v/>
          </cell>
          <cell r="AE22" t="str">
            <v/>
          </cell>
        </row>
        <row r="23">
          <cell r="AA23" t="str">
            <v/>
          </cell>
          <cell r="AB23" t="str">
            <v/>
          </cell>
          <cell r="AC23" t="str">
            <v/>
          </cell>
          <cell r="AD23" t="str">
            <v/>
          </cell>
          <cell r="AE23" t="str">
            <v/>
          </cell>
        </row>
        <row r="24">
          <cell r="AA24" t="str">
            <v/>
          </cell>
          <cell r="AB24" t="str">
            <v/>
          </cell>
          <cell r="AC24" t="str">
            <v/>
          </cell>
          <cell r="AD24" t="str">
            <v/>
          </cell>
          <cell r="AE24" t="str">
            <v/>
          </cell>
        </row>
        <row r="25">
          <cell r="AA25" t="str">
            <v/>
          </cell>
          <cell r="AB25" t="str">
            <v/>
          </cell>
          <cell r="AC25" t="str">
            <v/>
          </cell>
          <cell r="AD25" t="str">
            <v/>
          </cell>
          <cell r="AE25" t="str">
            <v/>
          </cell>
        </row>
        <row r="26">
          <cell r="AA26" t="str">
            <v/>
          </cell>
          <cell r="AB26" t="str">
            <v/>
          </cell>
          <cell r="AC26" t="str">
            <v/>
          </cell>
          <cell r="AD26" t="str">
            <v/>
          </cell>
          <cell r="AE26" t="str">
            <v/>
          </cell>
        </row>
        <row r="27">
          <cell r="AA27" t="str">
            <v/>
          </cell>
          <cell r="AB27" t="str">
            <v/>
          </cell>
          <cell r="AC27" t="str">
            <v/>
          </cell>
          <cell r="AD27" t="str">
            <v/>
          </cell>
          <cell r="AE27" t="str">
            <v/>
          </cell>
        </row>
        <row r="28">
          <cell r="AA28" t="str">
            <v/>
          </cell>
          <cell r="AB28" t="str">
            <v/>
          </cell>
          <cell r="AC28" t="str">
            <v/>
          </cell>
          <cell r="AD28" t="str">
            <v/>
          </cell>
          <cell r="AE28" t="str">
            <v/>
          </cell>
        </row>
        <row r="29">
          <cell r="AA29" t="str">
            <v/>
          </cell>
          <cell r="AB29" t="str">
            <v/>
          </cell>
          <cell r="AC29" t="str">
            <v/>
          </cell>
          <cell r="AD29" t="str">
            <v/>
          </cell>
          <cell r="AE29" t="str">
            <v/>
          </cell>
        </row>
        <row r="30">
          <cell r="AA30" t="str">
            <v/>
          </cell>
          <cell r="AB30" t="str">
            <v/>
          </cell>
          <cell r="AC30" t="str">
            <v/>
          </cell>
          <cell r="AD30" t="str">
            <v/>
          </cell>
          <cell r="AE30" t="str">
            <v/>
          </cell>
        </row>
        <row r="31">
          <cell r="AA31" t="str">
            <v/>
          </cell>
          <cell r="AB31" t="str">
            <v/>
          </cell>
          <cell r="AC31" t="str">
            <v/>
          </cell>
          <cell r="AD31" t="str">
            <v/>
          </cell>
          <cell r="AE31" t="str">
            <v/>
          </cell>
        </row>
        <row r="43">
          <cell r="N43" t="str">
            <v xml:space="preserve"> </v>
          </cell>
        </row>
      </sheetData>
      <sheetData sheetId="35" refreshError="1">
        <row r="1">
          <cell r="Q1" t="str">
            <v>SmartCharts</v>
          </cell>
        </row>
        <row r="5">
          <cell r="C5" t="str">
            <v>Define value axis here:</v>
          </cell>
        </row>
        <row r="6">
          <cell r="C6" t="str">
            <v>Gap Between TUP Organic Sales Growth and Sales Force Growth (Bps)</v>
          </cell>
        </row>
        <row r="8">
          <cell r="I8" t="str">
            <v>*** NOTE: You must manually delete legend keys for any unused data columns (click once on the legend, then again on the blank legend key, then press Delete)***</v>
          </cell>
        </row>
        <row r="9">
          <cell r="C9" t="str">
            <v>Input your data here:</v>
          </cell>
        </row>
        <row r="11">
          <cell r="D11" t="str">
            <v>Active Sales Force</v>
          </cell>
          <cell r="E11" t="str">
            <v>Total Sales Force</v>
          </cell>
          <cell r="AA11" t="str">
            <v>Active Sales Force</v>
          </cell>
          <cell r="AB11" t="str">
            <v>Total Sales Force</v>
          </cell>
          <cell r="AC11" t="str">
            <v/>
          </cell>
          <cell r="AD11" t="str">
            <v/>
          </cell>
          <cell r="AE11" t="str">
            <v/>
          </cell>
        </row>
        <row r="12">
          <cell r="C12" t="str">
            <v>Q107</v>
          </cell>
          <cell r="D12">
            <v>500</v>
          </cell>
          <cell r="E12">
            <v>500</v>
          </cell>
          <cell r="AA12">
            <v>500</v>
          </cell>
          <cell r="AB12">
            <v>500</v>
          </cell>
          <cell r="AC12" t="str">
            <v/>
          </cell>
          <cell r="AD12" t="str">
            <v/>
          </cell>
          <cell r="AE12" t="str">
            <v/>
          </cell>
        </row>
        <row r="13">
          <cell r="C13" t="str">
            <v>Q207</v>
          </cell>
          <cell r="D13">
            <v>800</v>
          </cell>
          <cell r="E13">
            <v>800</v>
          </cell>
          <cell r="AA13">
            <v>800</v>
          </cell>
          <cell r="AB13">
            <v>800</v>
          </cell>
          <cell r="AC13" t="str">
            <v/>
          </cell>
          <cell r="AD13" t="str">
            <v/>
          </cell>
          <cell r="AE13" t="str">
            <v/>
          </cell>
        </row>
        <row r="14">
          <cell r="C14" t="str">
            <v>Q307</v>
          </cell>
          <cell r="D14">
            <v>1000</v>
          </cell>
          <cell r="E14">
            <v>1000</v>
          </cell>
          <cell r="AA14">
            <v>1000</v>
          </cell>
          <cell r="AB14">
            <v>1000</v>
          </cell>
          <cell r="AC14" t="str">
            <v/>
          </cell>
          <cell r="AD14" t="str">
            <v/>
          </cell>
          <cell r="AE14" t="str">
            <v/>
          </cell>
        </row>
        <row r="15">
          <cell r="C15" t="str">
            <v>Q407</v>
          </cell>
          <cell r="D15">
            <v>1100</v>
          </cell>
          <cell r="E15">
            <v>1100</v>
          </cell>
          <cell r="AA15">
            <v>1100</v>
          </cell>
          <cell r="AB15">
            <v>1100</v>
          </cell>
          <cell r="AC15" t="str">
            <v/>
          </cell>
          <cell r="AD15" t="str">
            <v/>
          </cell>
          <cell r="AE15" t="str">
            <v/>
          </cell>
        </row>
        <row r="16">
          <cell r="C16" t="str">
            <v>Q108</v>
          </cell>
          <cell r="D16">
            <v>1000</v>
          </cell>
          <cell r="E16">
            <v>1000</v>
          </cell>
          <cell r="AA16">
            <v>1000</v>
          </cell>
          <cell r="AB16">
            <v>1000</v>
          </cell>
          <cell r="AC16" t="str">
            <v/>
          </cell>
          <cell r="AD16" t="str">
            <v/>
          </cell>
          <cell r="AE16" t="str">
            <v/>
          </cell>
        </row>
        <row r="17">
          <cell r="C17" t="str">
            <v>Q208</v>
          </cell>
          <cell r="D17">
            <v>1000</v>
          </cell>
          <cell r="E17">
            <v>1000</v>
          </cell>
          <cell r="AA17">
            <v>1000</v>
          </cell>
          <cell r="AB17">
            <v>1000</v>
          </cell>
          <cell r="AC17" t="str">
            <v/>
          </cell>
          <cell r="AD17" t="str">
            <v/>
          </cell>
          <cell r="AE17" t="str">
            <v/>
          </cell>
        </row>
        <row r="18">
          <cell r="C18" t="str">
            <v>Q208</v>
          </cell>
          <cell r="D18">
            <v>800</v>
          </cell>
          <cell r="E18">
            <v>800</v>
          </cell>
          <cell r="AA18">
            <v>800</v>
          </cell>
          <cell r="AB18">
            <v>800</v>
          </cell>
          <cell r="AC18" t="str">
            <v/>
          </cell>
          <cell r="AD18" t="str">
            <v/>
          </cell>
          <cell r="AE18" t="str">
            <v/>
          </cell>
        </row>
        <row r="19">
          <cell r="C19" t="str">
            <v>Q408</v>
          </cell>
          <cell r="D19">
            <v>300</v>
          </cell>
          <cell r="E19">
            <v>300</v>
          </cell>
          <cell r="AA19">
            <v>300</v>
          </cell>
          <cell r="AB19">
            <v>300</v>
          </cell>
          <cell r="AC19" t="str">
            <v/>
          </cell>
          <cell r="AD19" t="str">
            <v/>
          </cell>
          <cell r="AE19" t="str">
            <v/>
          </cell>
        </row>
        <row r="20">
          <cell r="C20" t="str">
            <v>Q109</v>
          </cell>
          <cell r="D20">
            <v>100</v>
          </cell>
          <cell r="E20">
            <v>100</v>
          </cell>
          <cell r="AA20">
            <v>100</v>
          </cell>
          <cell r="AB20">
            <v>100</v>
          </cell>
          <cell r="AC20" t="str">
            <v/>
          </cell>
          <cell r="AD20" t="str">
            <v/>
          </cell>
          <cell r="AE20" t="str">
            <v/>
          </cell>
        </row>
        <row r="21">
          <cell r="C21" t="str">
            <v>Q209</v>
          </cell>
          <cell r="D21">
            <v>400</v>
          </cell>
          <cell r="E21">
            <v>400</v>
          </cell>
          <cell r="AA21">
            <v>400</v>
          </cell>
          <cell r="AB21">
            <v>400</v>
          </cell>
          <cell r="AC21" t="str">
            <v/>
          </cell>
          <cell r="AD21" t="str">
            <v/>
          </cell>
          <cell r="AE21" t="str">
            <v/>
          </cell>
        </row>
        <row r="22">
          <cell r="AA22" t="str">
            <v/>
          </cell>
          <cell r="AB22" t="str">
            <v/>
          </cell>
          <cell r="AC22" t="str">
            <v/>
          </cell>
          <cell r="AD22" t="str">
            <v/>
          </cell>
          <cell r="AE22" t="str">
            <v/>
          </cell>
        </row>
        <row r="23">
          <cell r="AA23" t="str">
            <v/>
          </cell>
          <cell r="AB23" t="str">
            <v/>
          </cell>
          <cell r="AC23" t="str">
            <v/>
          </cell>
          <cell r="AD23" t="str">
            <v/>
          </cell>
          <cell r="AE23" t="str">
            <v/>
          </cell>
        </row>
        <row r="24">
          <cell r="AA24" t="str">
            <v/>
          </cell>
          <cell r="AB24" t="str">
            <v/>
          </cell>
          <cell r="AC24" t="str">
            <v/>
          </cell>
          <cell r="AD24" t="str">
            <v/>
          </cell>
          <cell r="AE24" t="str">
            <v/>
          </cell>
        </row>
        <row r="25">
          <cell r="AA25" t="str">
            <v/>
          </cell>
          <cell r="AB25" t="str">
            <v/>
          </cell>
          <cell r="AC25" t="str">
            <v/>
          </cell>
          <cell r="AD25" t="str">
            <v/>
          </cell>
          <cell r="AE25" t="str">
            <v/>
          </cell>
        </row>
        <row r="26">
          <cell r="AA26" t="str">
            <v/>
          </cell>
          <cell r="AB26" t="str">
            <v/>
          </cell>
          <cell r="AC26" t="str">
            <v/>
          </cell>
          <cell r="AD26" t="str">
            <v/>
          </cell>
          <cell r="AE26" t="str">
            <v/>
          </cell>
        </row>
        <row r="27">
          <cell r="AA27" t="str">
            <v/>
          </cell>
          <cell r="AB27" t="str">
            <v/>
          </cell>
          <cell r="AC27" t="str">
            <v/>
          </cell>
          <cell r="AD27" t="str">
            <v/>
          </cell>
          <cell r="AE27" t="str">
            <v/>
          </cell>
        </row>
        <row r="28">
          <cell r="AA28" t="str">
            <v/>
          </cell>
          <cell r="AB28" t="str">
            <v/>
          </cell>
          <cell r="AC28" t="str">
            <v/>
          </cell>
          <cell r="AD28" t="str">
            <v/>
          </cell>
          <cell r="AE28" t="str">
            <v/>
          </cell>
        </row>
        <row r="29">
          <cell r="AA29" t="str">
            <v/>
          </cell>
          <cell r="AB29" t="str">
            <v/>
          </cell>
          <cell r="AC29" t="str">
            <v/>
          </cell>
          <cell r="AD29" t="str">
            <v/>
          </cell>
          <cell r="AE29" t="str">
            <v/>
          </cell>
        </row>
        <row r="30">
          <cell r="AA30" t="str">
            <v/>
          </cell>
          <cell r="AB30" t="str">
            <v/>
          </cell>
          <cell r="AC30" t="str">
            <v/>
          </cell>
          <cell r="AD30" t="str">
            <v/>
          </cell>
          <cell r="AE30" t="str">
            <v/>
          </cell>
        </row>
        <row r="31">
          <cell r="AA31" t="str">
            <v/>
          </cell>
          <cell r="AB31" t="str">
            <v/>
          </cell>
          <cell r="AC31" t="str">
            <v/>
          </cell>
          <cell r="AD31" t="str">
            <v/>
          </cell>
          <cell r="AE31" t="str">
            <v/>
          </cell>
        </row>
        <row r="43">
          <cell r="N43" t="str">
            <v xml:space="preserve"> </v>
          </cell>
        </row>
      </sheetData>
      <sheetData sheetId="36" refreshError="1">
        <row r="1">
          <cell r="R1" t="str">
            <v>SmartCharts</v>
          </cell>
          <cell r="BA1" t="str">
            <v>.</v>
          </cell>
        </row>
        <row r="2">
          <cell r="BA2" t="str">
            <v>.</v>
          </cell>
        </row>
        <row r="3">
          <cell r="BA3" t="str">
            <v>.</v>
          </cell>
        </row>
        <row r="4">
          <cell r="BA4" t="str">
            <v>.</v>
          </cell>
        </row>
        <row r="5">
          <cell r="I5" t="str">
            <v>Input Y axis title here:</v>
          </cell>
          <cell r="J5" t="str">
            <v>Organic Currency Neutral Sales Growth</v>
          </cell>
        </row>
        <row r="7">
          <cell r="I7" t="str">
            <v>Input X axis title here:</v>
          </cell>
          <cell r="J7" t="str">
            <v>Active Sales Force Growth</v>
          </cell>
        </row>
        <row r="10">
          <cell r="C10" t="str">
            <v>Input your data here:</v>
          </cell>
          <cell r="BA10" t="str">
            <v>.</v>
          </cell>
        </row>
        <row r="11">
          <cell r="D11" t="str">
            <v>X-Axis</v>
          </cell>
          <cell r="E11" t="str">
            <v>Y Axis</v>
          </cell>
          <cell r="BA11" t="str">
            <v>.</v>
          </cell>
        </row>
        <row r="12">
          <cell r="C12" t="str">
            <v>1Q07</v>
          </cell>
          <cell r="D12">
            <v>1.4140499264967188E-2</v>
          </cell>
          <cell r="E12">
            <v>0.08</v>
          </cell>
          <cell r="BA12" t="str">
            <v>.</v>
          </cell>
        </row>
        <row r="13">
          <cell r="C13" t="str">
            <v>2Q07</v>
          </cell>
          <cell r="D13">
            <v>0.05</v>
          </cell>
          <cell r="E13">
            <v>0.1</v>
          </cell>
          <cell r="BA13" t="str">
            <v>.</v>
          </cell>
        </row>
        <row r="14">
          <cell r="C14" t="str">
            <v>3Q07</v>
          </cell>
          <cell r="D14">
            <v>0.04</v>
          </cell>
          <cell r="E14">
            <v>0.11</v>
          </cell>
          <cell r="BA14" t="str">
            <v>.</v>
          </cell>
        </row>
        <row r="15">
          <cell r="C15" t="str">
            <v>4Q07</v>
          </cell>
          <cell r="D15">
            <v>0.08</v>
          </cell>
          <cell r="E15">
            <v>0.1</v>
          </cell>
          <cell r="BA15" t="str">
            <v>.</v>
          </cell>
        </row>
        <row r="16">
          <cell r="C16" t="str">
            <v>1Q08</v>
          </cell>
          <cell r="D16">
            <v>0.11</v>
          </cell>
          <cell r="E16">
            <v>0.1</v>
          </cell>
          <cell r="BA16" t="str">
            <v>.</v>
          </cell>
        </row>
        <row r="17">
          <cell r="C17" t="str">
            <v>2Q08</v>
          </cell>
          <cell r="D17">
            <v>0.1</v>
          </cell>
          <cell r="E17">
            <v>0.08</v>
          </cell>
          <cell r="BA17" t="str">
            <v>.</v>
          </cell>
        </row>
        <row r="18">
          <cell r="C18" t="str">
            <v>3Q08</v>
          </cell>
          <cell r="D18">
            <v>5.4281158403853391E-2</v>
          </cell>
          <cell r="E18">
            <v>0.03</v>
          </cell>
          <cell r="BA18" t="str">
            <v>.</v>
          </cell>
        </row>
        <row r="19">
          <cell r="C19" t="str">
            <v>4Q08</v>
          </cell>
          <cell r="D19">
            <v>1.9806104384621381E-2</v>
          </cell>
          <cell r="E19">
            <v>0.01</v>
          </cell>
          <cell r="BA19" t="str">
            <v>.</v>
          </cell>
        </row>
        <row r="20">
          <cell r="C20" t="str">
            <v>1Q09</v>
          </cell>
          <cell r="D20">
            <v>-3.0261344568263127E-3</v>
          </cell>
          <cell r="E20">
            <v>0.04</v>
          </cell>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row>
      </sheetData>
      <sheetData sheetId="37" refreshError="1">
        <row r="1">
          <cell r="R1" t="str">
            <v>SmartCharts</v>
          </cell>
          <cell r="BA1" t="str">
            <v>.</v>
          </cell>
        </row>
        <row r="2">
          <cell r="BA2" t="str">
            <v>.</v>
          </cell>
        </row>
        <row r="3">
          <cell r="BA3" t="str">
            <v>.</v>
          </cell>
        </row>
        <row r="4">
          <cell r="BA4" t="str">
            <v>.</v>
          </cell>
        </row>
        <row r="5">
          <cell r="I5" t="str">
            <v>Input Y axis title here:</v>
          </cell>
          <cell r="J5" t="str">
            <v>Organic Currency Neutral Sales Growth</v>
          </cell>
        </row>
        <row r="7">
          <cell r="I7" t="str">
            <v>Input X axis title here:</v>
          </cell>
          <cell r="J7" t="str">
            <v>Active Sales Force Growth</v>
          </cell>
        </row>
        <row r="10">
          <cell r="C10" t="str">
            <v>Input your data here:</v>
          </cell>
          <cell r="BA10" t="str">
            <v>.</v>
          </cell>
        </row>
        <row r="11">
          <cell r="D11" t="str">
            <v>X-Axis</v>
          </cell>
          <cell r="E11" t="str">
            <v>Y Axis</v>
          </cell>
          <cell r="BA11" t="str">
            <v>.</v>
          </cell>
        </row>
        <row r="12">
          <cell r="C12" t="str">
            <v>1Q07</v>
          </cell>
          <cell r="D12">
            <v>1.4140499264967188E-2</v>
          </cell>
          <cell r="E12">
            <v>0.1</v>
          </cell>
          <cell r="BA12" t="str">
            <v>.</v>
          </cell>
        </row>
        <row r="13">
          <cell r="C13" t="str">
            <v>2Q07</v>
          </cell>
          <cell r="D13">
            <v>0.05</v>
          </cell>
          <cell r="E13">
            <v>0.11</v>
          </cell>
          <cell r="BA13" t="str">
            <v>.</v>
          </cell>
        </row>
        <row r="14">
          <cell r="C14" t="str">
            <v>3Q07</v>
          </cell>
          <cell r="D14">
            <v>0.04</v>
          </cell>
          <cell r="E14">
            <v>0.1</v>
          </cell>
          <cell r="BA14" t="str">
            <v>.</v>
          </cell>
        </row>
        <row r="15">
          <cell r="C15" t="str">
            <v>4Q07</v>
          </cell>
          <cell r="D15">
            <v>0.08</v>
          </cell>
          <cell r="E15">
            <v>0.1</v>
          </cell>
          <cell r="BA15" t="str">
            <v>.</v>
          </cell>
        </row>
        <row r="16">
          <cell r="C16" t="str">
            <v>1Q08</v>
          </cell>
          <cell r="D16">
            <v>0.11</v>
          </cell>
          <cell r="E16">
            <v>0.08</v>
          </cell>
          <cell r="BA16" t="str">
            <v>.</v>
          </cell>
        </row>
        <row r="17">
          <cell r="C17" t="str">
            <v>2Q08</v>
          </cell>
          <cell r="D17">
            <v>0.1</v>
          </cell>
          <cell r="E17">
            <v>0.03</v>
          </cell>
          <cell r="BA17" t="str">
            <v>.</v>
          </cell>
        </row>
        <row r="18">
          <cell r="C18" t="str">
            <v>3Q08</v>
          </cell>
          <cell r="D18">
            <v>5.4281158403853391E-2</v>
          </cell>
          <cell r="E18">
            <v>0.01</v>
          </cell>
          <cell r="BA18" t="str">
            <v>.</v>
          </cell>
        </row>
        <row r="19">
          <cell r="C19" t="str">
            <v>4Q08</v>
          </cell>
          <cell r="D19">
            <v>1.9806104384621381E-2</v>
          </cell>
          <cell r="E19">
            <v>0.04</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row>
      </sheetData>
      <sheetData sheetId="38" refreshError="1">
        <row r="1">
          <cell r="R1" t="str">
            <v>SmartCharts</v>
          </cell>
          <cell r="BA1" t="str">
            <v>.</v>
          </cell>
        </row>
        <row r="2">
          <cell r="BA2" t="str">
            <v>.</v>
          </cell>
        </row>
        <row r="3">
          <cell r="BA3" t="str">
            <v>.</v>
          </cell>
        </row>
        <row r="4">
          <cell r="BA4" t="str">
            <v>.</v>
          </cell>
        </row>
        <row r="5">
          <cell r="I5" t="str">
            <v>Input Y axis title here:</v>
          </cell>
          <cell r="J5" t="str">
            <v>Organic Currency Neutral Sales Growth</v>
          </cell>
        </row>
        <row r="7">
          <cell r="I7" t="str">
            <v>Input X axis title here:</v>
          </cell>
          <cell r="J7" t="str">
            <v>Active Sales Force Growth</v>
          </cell>
        </row>
        <row r="10">
          <cell r="C10" t="str">
            <v>Input your data here:</v>
          </cell>
          <cell r="BA10" t="str">
            <v>.</v>
          </cell>
        </row>
        <row r="11">
          <cell r="D11" t="str">
            <v>X-Axis</v>
          </cell>
          <cell r="E11" t="str">
            <v>Y Axis</v>
          </cell>
          <cell r="BA11" t="str">
            <v>.</v>
          </cell>
        </row>
        <row r="12">
          <cell r="C12" t="str">
            <v>1Q07</v>
          </cell>
          <cell r="D12">
            <v>2.1131554061773805E-2</v>
          </cell>
          <cell r="E12">
            <v>0.08</v>
          </cell>
          <cell r="BA12" t="str">
            <v>.</v>
          </cell>
        </row>
        <row r="13">
          <cell r="C13" t="str">
            <v>2Q07</v>
          </cell>
          <cell r="D13">
            <v>7.0302053376806617E-2</v>
          </cell>
          <cell r="E13">
            <v>0.1</v>
          </cell>
          <cell r="BA13" t="str">
            <v>.</v>
          </cell>
        </row>
        <row r="14">
          <cell r="C14" t="str">
            <v>3Q07</v>
          </cell>
          <cell r="D14">
            <v>0.10222899970799126</v>
          </cell>
          <cell r="E14">
            <v>0.11</v>
          </cell>
          <cell r="BA14" t="str">
            <v>.</v>
          </cell>
        </row>
        <row r="15">
          <cell r="C15" t="str">
            <v>4Q07</v>
          </cell>
          <cell r="D15">
            <v>0.14941802371114532</v>
          </cell>
          <cell r="E15">
            <v>0.1</v>
          </cell>
          <cell r="BA15" t="str">
            <v>.</v>
          </cell>
        </row>
        <row r="16">
          <cell r="C16" t="str">
            <v>1Q08</v>
          </cell>
          <cell r="D16">
            <v>0.12997782758676846</v>
          </cell>
          <cell r="E16">
            <v>0.1</v>
          </cell>
          <cell r="BA16" t="str">
            <v>.</v>
          </cell>
        </row>
        <row r="17">
          <cell r="C17" t="str">
            <v>2Q08</v>
          </cell>
          <cell r="D17">
            <v>0.12286789747988336</v>
          </cell>
          <cell r="E17">
            <v>0.08</v>
          </cell>
          <cell r="BA17" t="str">
            <v>.</v>
          </cell>
        </row>
        <row r="18">
          <cell r="C18" t="str">
            <v>3Q08</v>
          </cell>
          <cell r="D18">
            <v>8.7478437998575354E-2</v>
          </cell>
          <cell r="E18">
            <v>0.03</v>
          </cell>
          <cell r="BA18" t="str">
            <v>.</v>
          </cell>
        </row>
        <row r="19">
          <cell r="C19" t="str">
            <v>4Q08</v>
          </cell>
          <cell r="D19">
            <v>6.9472625687823308E-2</v>
          </cell>
          <cell r="E19">
            <v>0.01</v>
          </cell>
          <cell r="BA19" t="str">
            <v>.</v>
          </cell>
        </row>
        <row r="20">
          <cell r="C20" t="str">
            <v>Q109</v>
          </cell>
          <cell r="D20">
            <v>7.2779870190845974E-2</v>
          </cell>
          <cell r="E20">
            <v>0.04</v>
          </cell>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row>
      </sheetData>
      <sheetData sheetId="39" refreshError="1">
        <row r="1">
          <cell r="R1" t="str">
            <v>SmartCharts</v>
          </cell>
          <cell r="BA1" t="str">
            <v>.</v>
          </cell>
        </row>
        <row r="2">
          <cell r="BA2" t="str">
            <v>.</v>
          </cell>
        </row>
        <row r="3">
          <cell r="BA3" t="str">
            <v>.</v>
          </cell>
        </row>
        <row r="4">
          <cell r="BA4" t="str">
            <v>.</v>
          </cell>
        </row>
        <row r="5">
          <cell r="I5" t="str">
            <v>Input Y axis title here:</v>
          </cell>
          <cell r="J5" t="str">
            <v>Organic Currency Neutral Sales Growth</v>
          </cell>
        </row>
        <row r="7">
          <cell r="I7" t="str">
            <v>Input X axis title here:</v>
          </cell>
          <cell r="J7" t="str">
            <v>Active Sales Force Growth</v>
          </cell>
        </row>
        <row r="10">
          <cell r="C10" t="str">
            <v>Input your data here:</v>
          </cell>
          <cell r="BA10" t="str">
            <v>.</v>
          </cell>
        </row>
        <row r="11">
          <cell r="D11" t="str">
            <v>X-Axis</v>
          </cell>
          <cell r="E11" t="str">
            <v>Y Axis</v>
          </cell>
          <cell r="BA11" t="str">
            <v>.</v>
          </cell>
        </row>
        <row r="12">
          <cell r="C12" t="str">
            <v>1Q07</v>
          </cell>
          <cell r="D12">
            <v>2.1131554061773805E-2</v>
          </cell>
          <cell r="E12">
            <v>0.1</v>
          </cell>
          <cell r="BA12" t="str">
            <v>.</v>
          </cell>
        </row>
        <row r="13">
          <cell r="C13" t="str">
            <v>2Q07</v>
          </cell>
          <cell r="D13">
            <v>7.0302053376806617E-2</v>
          </cell>
          <cell r="E13">
            <v>0.11</v>
          </cell>
          <cell r="BA13" t="str">
            <v>.</v>
          </cell>
        </row>
        <row r="14">
          <cell r="C14" t="str">
            <v>3Q07</v>
          </cell>
          <cell r="D14">
            <v>0.10222899970799126</v>
          </cell>
          <cell r="E14">
            <v>0.1</v>
          </cell>
          <cell r="BA14" t="str">
            <v>.</v>
          </cell>
        </row>
        <row r="15">
          <cell r="C15" t="str">
            <v>4Q07</v>
          </cell>
          <cell r="D15">
            <v>0.14941802371114532</v>
          </cell>
          <cell r="E15">
            <v>0.1</v>
          </cell>
          <cell r="BA15" t="str">
            <v>.</v>
          </cell>
        </row>
        <row r="16">
          <cell r="C16" t="str">
            <v>1Q08</v>
          </cell>
          <cell r="D16">
            <v>0.12997782758676846</v>
          </cell>
          <cell r="E16">
            <v>0.08</v>
          </cell>
          <cell r="BA16" t="str">
            <v>.</v>
          </cell>
        </row>
        <row r="17">
          <cell r="C17" t="str">
            <v>2Q08</v>
          </cell>
          <cell r="D17">
            <v>0.12286789747988336</v>
          </cell>
          <cell r="E17">
            <v>0.03</v>
          </cell>
          <cell r="BA17" t="str">
            <v>.</v>
          </cell>
        </row>
        <row r="18">
          <cell r="C18" t="str">
            <v>3Q08</v>
          </cell>
          <cell r="D18">
            <v>8.7478437998575354E-2</v>
          </cell>
          <cell r="E18">
            <v>0.01</v>
          </cell>
          <cell r="BA18" t="str">
            <v>.</v>
          </cell>
        </row>
        <row r="19">
          <cell r="C19" t="str">
            <v>4Q08</v>
          </cell>
          <cell r="D19">
            <v>6.9472625687823308E-2</v>
          </cell>
          <cell r="E19">
            <v>0.04</v>
          </cell>
          <cell r="BA19" t="str">
            <v>.</v>
          </cell>
        </row>
        <row r="20">
          <cell r="BA20" t="str">
            <v>.</v>
          </cell>
        </row>
        <row r="21">
          <cell r="BA21" t="str">
            <v>.</v>
          </cell>
        </row>
        <row r="22">
          <cell r="BA22" t="str">
            <v>.</v>
          </cell>
        </row>
        <row r="23">
          <cell r="BA23" t="str">
            <v>.</v>
          </cell>
        </row>
        <row r="24">
          <cell r="BA24" t="str">
            <v>.</v>
          </cell>
        </row>
        <row r="25">
          <cell r="BA25" t="str">
            <v>.</v>
          </cell>
        </row>
        <row r="26">
          <cell r="BA26" t="str">
            <v>.</v>
          </cell>
        </row>
        <row r="27">
          <cell r="BA27" t="str">
            <v>.</v>
          </cell>
        </row>
        <row r="28">
          <cell r="BA28" t="str">
            <v>.</v>
          </cell>
        </row>
        <row r="29">
          <cell r="BA29" t="str">
            <v>.</v>
          </cell>
        </row>
        <row r="30">
          <cell r="BA30" t="str">
            <v>.</v>
          </cell>
        </row>
        <row r="31">
          <cell r="BA31" t="str">
            <v>.</v>
          </cell>
        </row>
        <row r="32">
          <cell r="BA32" t="str">
            <v>.</v>
          </cell>
        </row>
        <row r="33">
          <cell r="BA33" t="str">
            <v>.</v>
          </cell>
        </row>
        <row r="34">
          <cell r="BA34" t="str">
            <v>.</v>
          </cell>
        </row>
        <row r="35">
          <cell r="BA35" t="str">
            <v>.</v>
          </cell>
        </row>
        <row r="36">
          <cell r="BA36" t="str">
            <v>.</v>
          </cell>
        </row>
        <row r="37">
          <cell r="BA37" t="str">
            <v>.</v>
          </cell>
        </row>
        <row r="38">
          <cell r="BA38" t="str">
            <v>.</v>
          </cell>
        </row>
        <row r="39">
          <cell r="BA39" t="str">
            <v>.</v>
          </cell>
        </row>
        <row r="40">
          <cell r="BA40" t="str">
            <v>.</v>
          </cell>
        </row>
        <row r="41">
          <cell r="BA41" t="str">
            <v>.</v>
          </cell>
        </row>
        <row r="42">
          <cell r="BA42" t="str">
            <v>.</v>
          </cell>
        </row>
        <row r="43">
          <cell r="BA43" t="str">
            <v>.</v>
          </cell>
        </row>
        <row r="44">
          <cell r="BA44" t="str">
            <v>.</v>
          </cell>
        </row>
        <row r="45">
          <cell r="BA45" t="str">
            <v>.</v>
          </cell>
        </row>
        <row r="46">
          <cell r="BA46" t="str">
            <v>.</v>
          </cell>
        </row>
        <row r="47">
          <cell r="BA47" t="str">
            <v>.</v>
          </cell>
        </row>
        <row r="48">
          <cell r="BA48" t="str">
            <v>.</v>
          </cell>
        </row>
        <row r="49">
          <cell r="BA49" t="str">
            <v>.</v>
          </cell>
        </row>
        <row r="50">
          <cell r="BA50" t="str">
            <v>.</v>
          </cell>
        </row>
        <row r="51">
          <cell r="BA51" t="str">
            <v>.</v>
          </cell>
        </row>
        <row r="52">
          <cell r="BA52" t="str">
            <v>.</v>
          </cell>
        </row>
        <row r="53">
          <cell r="BA53" t="str">
            <v>.</v>
          </cell>
        </row>
        <row r="54">
          <cell r="BA54" t="str">
            <v>.</v>
          </cell>
        </row>
        <row r="55">
          <cell r="BA55" t="str">
            <v>.</v>
          </cell>
        </row>
        <row r="56">
          <cell r="BA56" t="str">
            <v>.</v>
          </cell>
        </row>
        <row r="57">
          <cell r="BA57" t="str">
            <v>.</v>
          </cell>
        </row>
        <row r="58">
          <cell r="BA58" t="str">
            <v>.</v>
          </cell>
        </row>
        <row r="59">
          <cell r="BA59" t="str">
            <v>.</v>
          </cell>
        </row>
        <row r="60">
          <cell r="BA60" t="str">
            <v>.</v>
          </cell>
        </row>
        <row r="61">
          <cell r="BA61" t="str">
            <v>.</v>
          </cell>
        </row>
        <row r="62">
          <cell r="BA62" t="str">
            <v>.</v>
          </cell>
        </row>
        <row r="63">
          <cell r="BA63" t="str">
            <v>.</v>
          </cell>
        </row>
        <row r="64">
          <cell r="BA64" t="str">
            <v>.</v>
          </cell>
        </row>
        <row r="65">
          <cell r="BA65" t="str">
            <v>.</v>
          </cell>
        </row>
        <row r="66">
          <cell r="BA66" t="str">
            <v>.</v>
          </cell>
        </row>
        <row r="67">
          <cell r="BA67" t="str">
            <v>.</v>
          </cell>
        </row>
        <row r="68">
          <cell r="BA68" t="str">
            <v>.</v>
          </cell>
        </row>
        <row r="69">
          <cell r="BA69" t="str">
            <v>.</v>
          </cell>
        </row>
        <row r="70">
          <cell r="BA70" t="str">
            <v>.</v>
          </cell>
        </row>
        <row r="71">
          <cell r="BA71" t="str">
            <v>.</v>
          </cell>
        </row>
        <row r="72">
          <cell r="BA72" t="str">
            <v>.</v>
          </cell>
        </row>
        <row r="73">
          <cell r="BA73" t="str">
            <v>.</v>
          </cell>
        </row>
        <row r="74">
          <cell r="BA74" t="str">
            <v>.</v>
          </cell>
        </row>
        <row r="75">
          <cell r="BA75" t="str">
            <v>.</v>
          </cell>
        </row>
        <row r="76">
          <cell r="BA76" t="str">
            <v>.</v>
          </cell>
        </row>
        <row r="77">
          <cell r="BA77" t="str">
            <v>.</v>
          </cell>
        </row>
        <row r="78">
          <cell r="BA78" t="str">
            <v>.</v>
          </cell>
        </row>
        <row r="79">
          <cell r="BA79" t="str">
            <v>.</v>
          </cell>
        </row>
        <row r="80">
          <cell r="BA80" t="str">
            <v>.</v>
          </cell>
        </row>
        <row r="81">
          <cell r="BA81" t="str">
            <v>.</v>
          </cell>
        </row>
        <row r="82">
          <cell r="BA82" t="str">
            <v>.</v>
          </cell>
        </row>
        <row r="83">
          <cell r="BA83" t="str">
            <v>.</v>
          </cell>
        </row>
        <row r="84">
          <cell r="BA84" t="str">
            <v>.</v>
          </cell>
        </row>
        <row r="85">
          <cell r="BA85" t="str">
            <v>.</v>
          </cell>
        </row>
        <row r="86">
          <cell r="BA86" t="str">
            <v>.</v>
          </cell>
        </row>
        <row r="87">
          <cell r="BA87" t="str">
            <v>.</v>
          </cell>
        </row>
        <row r="88">
          <cell r="BA88" t="str">
            <v>.</v>
          </cell>
        </row>
        <row r="89">
          <cell r="BA89" t="str">
            <v>.</v>
          </cell>
        </row>
        <row r="90">
          <cell r="BA90" t="str">
            <v>.</v>
          </cell>
        </row>
        <row r="91">
          <cell r="BA91" t="str">
            <v>.</v>
          </cell>
        </row>
        <row r="92">
          <cell r="BA92" t="str">
            <v>.</v>
          </cell>
        </row>
        <row r="93">
          <cell r="BA93" t="str">
            <v>.</v>
          </cell>
        </row>
        <row r="94">
          <cell r="BA94" t="str">
            <v>.</v>
          </cell>
        </row>
        <row r="95">
          <cell r="BA95" t="str">
            <v>.</v>
          </cell>
        </row>
        <row r="96">
          <cell r="BA96" t="str">
            <v>.</v>
          </cell>
        </row>
        <row r="97">
          <cell r="BA97" t="str">
            <v>.</v>
          </cell>
        </row>
        <row r="98">
          <cell r="BA98" t="str">
            <v>.</v>
          </cell>
        </row>
        <row r="99">
          <cell r="BA99" t="str">
            <v>.</v>
          </cell>
        </row>
        <row r="100">
          <cell r="BA100" t="str">
            <v>.</v>
          </cell>
        </row>
        <row r="101">
          <cell r="BA101" t="str">
            <v>.</v>
          </cell>
        </row>
        <row r="102">
          <cell r="BA102" t="str">
            <v>.</v>
          </cell>
        </row>
        <row r="103">
          <cell r="BA103" t="str">
            <v>.</v>
          </cell>
        </row>
        <row r="104">
          <cell r="BA104" t="str">
            <v>.</v>
          </cell>
        </row>
        <row r="105">
          <cell r="BA105" t="str">
            <v>.</v>
          </cell>
        </row>
        <row r="106">
          <cell r="BA106" t="str">
            <v>.</v>
          </cell>
        </row>
        <row r="107">
          <cell r="BA107" t="str">
            <v>.</v>
          </cell>
        </row>
        <row r="108">
          <cell r="BA108" t="str">
            <v>.</v>
          </cell>
        </row>
        <row r="109">
          <cell r="BA109" t="str">
            <v>.</v>
          </cell>
        </row>
        <row r="110">
          <cell r="BA110" t="str">
            <v>.</v>
          </cell>
        </row>
        <row r="111">
          <cell r="BA111" t="str">
            <v>.</v>
          </cell>
        </row>
        <row r="112">
          <cell r="BA112" t="str">
            <v>.</v>
          </cell>
        </row>
        <row r="113">
          <cell r="BA113" t="str">
            <v>.</v>
          </cell>
        </row>
        <row r="114">
          <cell r="BA114" t="str">
            <v>.</v>
          </cell>
        </row>
        <row r="115">
          <cell r="BA115" t="str">
            <v>.</v>
          </cell>
        </row>
        <row r="116">
          <cell r="BA116" t="str">
            <v>.</v>
          </cell>
        </row>
        <row r="117">
          <cell r="BA117" t="str">
            <v>.</v>
          </cell>
        </row>
        <row r="118">
          <cell r="BA118" t="str">
            <v>.</v>
          </cell>
        </row>
        <row r="119">
          <cell r="BA119" t="str">
            <v>.</v>
          </cell>
        </row>
        <row r="120">
          <cell r="BA120" t="str">
            <v>.</v>
          </cell>
        </row>
        <row r="121">
          <cell r="BA121" t="str">
            <v>.</v>
          </cell>
        </row>
        <row r="122">
          <cell r="BA122" t="str">
            <v>.</v>
          </cell>
        </row>
        <row r="123">
          <cell r="BA123" t="str">
            <v>.</v>
          </cell>
        </row>
        <row r="124">
          <cell r="BA124" t="str">
            <v>.</v>
          </cell>
        </row>
        <row r="125">
          <cell r="BA125" t="str">
            <v>.</v>
          </cell>
        </row>
        <row r="126">
          <cell r="BA126" t="str">
            <v>.</v>
          </cell>
        </row>
        <row r="127">
          <cell r="BA127" t="str">
            <v>.</v>
          </cell>
        </row>
        <row r="128">
          <cell r="BA128" t="str">
            <v>.</v>
          </cell>
        </row>
        <row r="129">
          <cell r="BA129" t="str">
            <v>.</v>
          </cell>
        </row>
        <row r="130">
          <cell r="BA130" t="str">
            <v>.</v>
          </cell>
        </row>
        <row r="131">
          <cell r="BA131" t="str">
            <v>.</v>
          </cell>
        </row>
        <row r="132">
          <cell r="BA132" t="str">
            <v>.</v>
          </cell>
        </row>
        <row r="133">
          <cell r="BA133" t="str">
            <v>.</v>
          </cell>
        </row>
        <row r="134">
          <cell r="BA134" t="str">
            <v>.</v>
          </cell>
        </row>
        <row r="135">
          <cell r="BA135" t="str">
            <v>.</v>
          </cell>
        </row>
        <row r="136">
          <cell r="BA136" t="str">
            <v>.</v>
          </cell>
        </row>
        <row r="137">
          <cell r="BA137" t="str">
            <v>.</v>
          </cell>
        </row>
        <row r="138">
          <cell r="BA138" t="str">
            <v>.</v>
          </cell>
        </row>
        <row r="139">
          <cell r="BA139" t="str">
            <v>.</v>
          </cell>
        </row>
        <row r="140">
          <cell r="BA140" t="str">
            <v>.</v>
          </cell>
        </row>
        <row r="141">
          <cell r="BA141" t="str">
            <v>.</v>
          </cell>
        </row>
        <row r="142">
          <cell r="BA142" t="str">
            <v>.</v>
          </cell>
        </row>
        <row r="143">
          <cell r="BA143" t="str">
            <v>.</v>
          </cell>
        </row>
        <row r="144">
          <cell r="BA144" t="str">
            <v>.</v>
          </cell>
        </row>
        <row r="145">
          <cell r="BA145" t="str">
            <v>.</v>
          </cell>
        </row>
        <row r="146">
          <cell r="BA146" t="str">
            <v>.</v>
          </cell>
        </row>
        <row r="147">
          <cell r="BA147" t="str">
            <v>.</v>
          </cell>
        </row>
        <row r="148">
          <cell r="BA148" t="str">
            <v>.</v>
          </cell>
        </row>
        <row r="149">
          <cell r="BA149" t="str">
            <v>.</v>
          </cell>
        </row>
        <row r="150">
          <cell r="BA150" t="str">
            <v>.</v>
          </cell>
        </row>
        <row r="151">
          <cell r="BA151" t="str">
            <v>.</v>
          </cell>
        </row>
        <row r="152">
          <cell r="BA152" t="str">
            <v>.</v>
          </cell>
        </row>
        <row r="153">
          <cell r="BA153" t="str">
            <v>.</v>
          </cell>
        </row>
        <row r="154">
          <cell r="BA154" t="str">
            <v>.</v>
          </cell>
        </row>
        <row r="155">
          <cell r="BA155" t="str">
            <v>.</v>
          </cell>
        </row>
        <row r="156">
          <cell r="BA156" t="str">
            <v>.</v>
          </cell>
        </row>
        <row r="157">
          <cell r="BA157" t="str">
            <v>.</v>
          </cell>
        </row>
        <row r="158">
          <cell r="BA158" t="str">
            <v>.</v>
          </cell>
        </row>
        <row r="159">
          <cell r="BA159" t="str">
            <v>.</v>
          </cell>
        </row>
        <row r="160">
          <cell r="BA160" t="str">
            <v>.</v>
          </cell>
        </row>
        <row r="161">
          <cell r="BA161" t="str">
            <v>.</v>
          </cell>
        </row>
        <row r="162">
          <cell r="BA162" t="str">
            <v>.</v>
          </cell>
        </row>
        <row r="163">
          <cell r="BA163" t="str">
            <v>.</v>
          </cell>
        </row>
        <row r="164">
          <cell r="BA164" t="str">
            <v>.</v>
          </cell>
        </row>
        <row r="165">
          <cell r="BA165" t="str">
            <v>.</v>
          </cell>
        </row>
        <row r="166">
          <cell r="BA166" t="str">
            <v>.</v>
          </cell>
        </row>
        <row r="167">
          <cell r="BA167" t="str">
            <v>.</v>
          </cell>
        </row>
        <row r="168">
          <cell r="BA168" t="str">
            <v>.</v>
          </cell>
        </row>
        <row r="169">
          <cell r="BA169" t="str">
            <v>.</v>
          </cell>
        </row>
        <row r="170">
          <cell r="BA170" t="str">
            <v>.</v>
          </cell>
        </row>
        <row r="171">
          <cell r="BA171" t="str">
            <v>.</v>
          </cell>
        </row>
        <row r="172">
          <cell r="BA172" t="str">
            <v>.</v>
          </cell>
        </row>
        <row r="173">
          <cell r="BA173" t="str">
            <v>.</v>
          </cell>
        </row>
        <row r="174">
          <cell r="BA174" t="str">
            <v>.</v>
          </cell>
        </row>
        <row r="175">
          <cell r="BA175" t="str">
            <v>.</v>
          </cell>
        </row>
        <row r="176">
          <cell r="BA176" t="str">
            <v>.</v>
          </cell>
        </row>
        <row r="177">
          <cell r="BA177" t="str">
            <v>.</v>
          </cell>
        </row>
        <row r="178">
          <cell r="BA178" t="str">
            <v>.</v>
          </cell>
        </row>
        <row r="179">
          <cell r="BA179" t="str">
            <v>.</v>
          </cell>
        </row>
        <row r="180">
          <cell r="BA180" t="str">
            <v>.</v>
          </cell>
        </row>
        <row r="181">
          <cell r="BA181" t="str">
            <v>.</v>
          </cell>
        </row>
        <row r="182">
          <cell r="BA182" t="str">
            <v>.</v>
          </cell>
        </row>
        <row r="183">
          <cell r="BA183" t="str">
            <v>.</v>
          </cell>
        </row>
        <row r="184">
          <cell r="BA184" t="str">
            <v>.</v>
          </cell>
        </row>
        <row r="185">
          <cell r="BA185" t="str">
            <v>.</v>
          </cell>
        </row>
        <row r="186">
          <cell r="BA186" t="str">
            <v>.</v>
          </cell>
        </row>
        <row r="187">
          <cell r="BA187" t="str">
            <v>.</v>
          </cell>
        </row>
        <row r="188">
          <cell r="BA188" t="str">
            <v>.</v>
          </cell>
        </row>
        <row r="189">
          <cell r="BA189" t="str">
            <v>.</v>
          </cell>
        </row>
        <row r="190">
          <cell r="BA190" t="str">
            <v>.</v>
          </cell>
        </row>
        <row r="191">
          <cell r="BA191" t="str">
            <v>.</v>
          </cell>
        </row>
        <row r="192">
          <cell r="BA192" t="str">
            <v>.</v>
          </cell>
        </row>
        <row r="193">
          <cell r="BA193" t="str">
            <v>.</v>
          </cell>
        </row>
        <row r="194">
          <cell r="BA194" t="str">
            <v>.</v>
          </cell>
        </row>
        <row r="195">
          <cell r="BA195" t="str">
            <v>.</v>
          </cell>
        </row>
        <row r="196">
          <cell r="BA196" t="str">
            <v>.</v>
          </cell>
        </row>
        <row r="197">
          <cell r="BA197" t="str">
            <v>.</v>
          </cell>
        </row>
        <row r="198">
          <cell r="BA198" t="str">
            <v>.</v>
          </cell>
        </row>
        <row r="199">
          <cell r="BA199" t="str">
            <v>.</v>
          </cell>
        </row>
        <row r="200">
          <cell r="BA200" t="str">
            <v>.</v>
          </cell>
        </row>
        <row r="201">
          <cell r="BA201" t="str">
            <v>.</v>
          </cell>
        </row>
        <row r="202">
          <cell r="BA202" t="str">
            <v>.</v>
          </cell>
        </row>
        <row r="203">
          <cell r="BA203" t="str">
            <v>.</v>
          </cell>
        </row>
        <row r="204">
          <cell r="BA204" t="str">
            <v>.</v>
          </cell>
        </row>
        <row r="205">
          <cell r="BA205" t="str">
            <v>.</v>
          </cell>
        </row>
        <row r="206">
          <cell r="BA206" t="str">
            <v>.</v>
          </cell>
        </row>
        <row r="207">
          <cell r="BA207" t="str">
            <v>.</v>
          </cell>
        </row>
        <row r="208">
          <cell r="BA208" t="str">
            <v>.</v>
          </cell>
        </row>
        <row r="209">
          <cell r="BA209" t="str">
            <v>.</v>
          </cell>
        </row>
        <row r="210">
          <cell r="BA210" t="str">
            <v>.</v>
          </cell>
        </row>
        <row r="211">
          <cell r="BA211" t="str">
            <v>.</v>
          </cell>
        </row>
        <row r="212">
          <cell r="BA212" t="str">
            <v>.</v>
          </cell>
        </row>
        <row r="213">
          <cell r="BA213" t="str">
            <v>.</v>
          </cell>
        </row>
        <row r="214">
          <cell r="BA214" t="str">
            <v>.</v>
          </cell>
        </row>
        <row r="215">
          <cell r="BA215" t="str">
            <v>.</v>
          </cell>
        </row>
        <row r="216">
          <cell r="BA216" t="str">
            <v>.</v>
          </cell>
        </row>
        <row r="217">
          <cell r="BA217" t="str">
            <v>.</v>
          </cell>
        </row>
        <row r="218">
          <cell r="BA218" t="str">
            <v>.</v>
          </cell>
        </row>
        <row r="219">
          <cell r="BA219" t="str">
            <v>.</v>
          </cell>
        </row>
        <row r="220">
          <cell r="BA220" t="str">
            <v>.</v>
          </cell>
        </row>
        <row r="221">
          <cell r="BA221" t="str">
            <v>.</v>
          </cell>
        </row>
        <row r="222">
          <cell r="BA222" t="str">
            <v>.</v>
          </cell>
        </row>
        <row r="223">
          <cell r="BA223" t="str">
            <v>.</v>
          </cell>
        </row>
        <row r="224">
          <cell r="BA224" t="str">
            <v>.</v>
          </cell>
        </row>
        <row r="225">
          <cell r="BA225" t="str">
            <v>.</v>
          </cell>
        </row>
        <row r="226">
          <cell r="BA226" t="str">
            <v>.</v>
          </cell>
        </row>
        <row r="227">
          <cell r="BA227" t="str">
            <v>.</v>
          </cell>
        </row>
        <row r="228">
          <cell r="BA228" t="str">
            <v>.</v>
          </cell>
        </row>
        <row r="229">
          <cell r="BA229" t="str">
            <v>.</v>
          </cell>
        </row>
        <row r="230">
          <cell r="BA230" t="str">
            <v>.</v>
          </cell>
        </row>
        <row r="231">
          <cell r="BA231" t="str">
            <v>.</v>
          </cell>
        </row>
        <row r="232">
          <cell r="BA232" t="str">
            <v>.</v>
          </cell>
        </row>
        <row r="233">
          <cell r="BA233" t="str">
            <v>.</v>
          </cell>
        </row>
        <row r="234">
          <cell r="BA234" t="str">
            <v>.</v>
          </cell>
        </row>
        <row r="235">
          <cell r="BA235" t="str">
            <v>.</v>
          </cell>
        </row>
        <row r="236">
          <cell r="BA236" t="str">
            <v>.</v>
          </cell>
        </row>
        <row r="237">
          <cell r="BA237" t="str">
            <v>.</v>
          </cell>
        </row>
        <row r="238">
          <cell r="BA238" t="str">
            <v>.</v>
          </cell>
        </row>
        <row r="239">
          <cell r="BA239" t="str">
            <v>.</v>
          </cell>
        </row>
        <row r="240">
          <cell r="BA240" t="str">
            <v>.</v>
          </cell>
        </row>
        <row r="241">
          <cell r="BA241" t="str">
            <v>.</v>
          </cell>
        </row>
        <row r="242">
          <cell r="BA242" t="str">
            <v>.</v>
          </cell>
        </row>
        <row r="243">
          <cell r="BA243" t="str">
            <v>.</v>
          </cell>
        </row>
        <row r="244">
          <cell r="BA244" t="str">
            <v>.</v>
          </cell>
        </row>
        <row r="245">
          <cell r="BA245" t="str">
            <v>.</v>
          </cell>
        </row>
        <row r="246">
          <cell r="BA246" t="str">
            <v>.</v>
          </cell>
        </row>
        <row r="247">
          <cell r="BA247" t="str">
            <v>.</v>
          </cell>
        </row>
        <row r="248">
          <cell r="BA248" t="str">
            <v>.</v>
          </cell>
        </row>
        <row r="249">
          <cell r="BA249" t="str">
            <v>.</v>
          </cell>
        </row>
        <row r="250">
          <cell r="BA250" t="str">
            <v>.</v>
          </cell>
        </row>
        <row r="251">
          <cell r="BA251" t="str">
            <v>.</v>
          </cell>
        </row>
        <row r="252">
          <cell r="BA252" t="str">
            <v>.</v>
          </cell>
        </row>
        <row r="253">
          <cell r="BA253" t="str">
            <v>.</v>
          </cell>
        </row>
        <row r="254">
          <cell r="BA254" t="str">
            <v>.</v>
          </cell>
        </row>
        <row r="255">
          <cell r="BA255" t="str">
            <v>.</v>
          </cell>
        </row>
        <row r="256">
          <cell r="BA256" t="str">
            <v>.</v>
          </cell>
        </row>
        <row r="257">
          <cell r="BA257" t="str">
            <v>.</v>
          </cell>
        </row>
        <row r="258">
          <cell r="BA258" t="str">
            <v>.</v>
          </cell>
        </row>
        <row r="259">
          <cell r="BA259" t="str">
            <v>.</v>
          </cell>
        </row>
        <row r="260">
          <cell r="BA260" t="str">
            <v>.</v>
          </cell>
        </row>
        <row r="261">
          <cell r="BA261" t="str">
            <v>.</v>
          </cell>
        </row>
        <row r="262">
          <cell r="BA262" t="str">
            <v>.</v>
          </cell>
        </row>
        <row r="263">
          <cell r="BA263" t="str">
            <v>.</v>
          </cell>
        </row>
        <row r="264">
          <cell r="BA264" t="str">
            <v>.</v>
          </cell>
        </row>
        <row r="265">
          <cell r="BA265" t="str">
            <v>.</v>
          </cell>
        </row>
        <row r="266">
          <cell r="BA266" t="str">
            <v>.</v>
          </cell>
        </row>
        <row r="267">
          <cell r="BA267" t="str">
            <v>.</v>
          </cell>
        </row>
        <row r="268">
          <cell r="BA268" t="str">
            <v>.</v>
          </cell>
        </row>
        <row r="269">
          <cell r="BA269" t="str">
            <v>.</v>
          </cell>
        </row>
        <row r="270">
          <cell r="BA270" t="str">
            <v>.</v>
          </cell>
        </row>
        <row r="271">
          <cell r="BA271" t="str">
            <v>.</v>
          </cell>
        </row>
        <row r="272">
          <cell r="BA272" t="str">
            <v>.</v>
          </cell>
        </row>
        <row r="273">
          <cell r="BA273" t="str">
            <v>.</v>
          </cell>
        </row>
        <row r="274">
          <cell r="BA274" t="str">
            <v>.</v>
          </cell>
        </row>
        <row r="275">
          <cell r="BA275" t="str">
            <v>.</v>
          </cell>
        </row>
        <row r="276">
          <cell r="BA276" t="str">
            <v>.</v>
          </cell>
        </row>
        <row r="277">
          <cell r="BA277" t="str">
            <v>.</v>
          </cell>
        </row>
        <row r="278">
          <cell r="BA278" t="str">
            <v>.</v>
          </cell>
        </row>
        <row r="279">
          <cell r="BA279" t="str">
            <v>.</v>
          </cell>
        </row>
        <row r="280">
          <cell r="BA280" t="str">
            <v>.</v>
          </cell>
        </row>
        <row r="281">
          <cell r="BA281" t="str">
            <v>.</v>
          </cell>
        </row>
        <row r="282">
          <cell r="BA282" t="str">
            <v>.</v>
          </cell>
        </row>
        <row r="283">
          <cell r="BA283" t="str">
            <v>.</v>
          </cell>
        </row>
        <row r="284">
          <cell r="BA284" t="str">
            <v>.</v>
          </cell>
        </row>
        <row r="285">
          <cell r="BA285" t="str">
            <v>.</v>
          </cell>
        </row>
        <row r="286">
          <cell r="BA286" t="str">
            <v>.</v>
          </cell>
        </row>
        <row r="287">
          <cell r="BA287" t="str">
            <v>.</v>
          </cell>
        </row>
        <row r="288">
          <cell r="BA288" t="str">
            <v>.</v>
          </cell>
        </row>
        <row r="289">
          <cell r="BA289" t="str">
            <v>.</v>
          </cell>
        </row>
        <row r="290">
          <cell r="BA290" t="str">
            <v>.</v>
          </cell>
        </row>
        <row r="291">
          <cell r="BA291" t="str">
            <v>.</v>
          </cell>
        </row>
        <row r="292">
          <cell r="BA292" t="str">
            <v>.</v>
          </cell>
        </row>
        <row r="293">
          <cell r="BA293" t="str">
            <v>.</v>
          </cell>
        </row>
        <row r="294">
          <cell r="BA294" t="str">
            <v>.</v>
          </cell>
        </row>
        <row r="295">
          <cell r="BA295" t="str">
            <v>.</v>
          </cell>
        </row>
        <row r="296">
          <cell r="BA296" t="str">
            <v>.</v>
          </cell>
        </row>
        <row r="297">
          <cell r="BA297" t="str">
            <v>.</v>
          </cell>
        </row>
        <row r="298">
          <cell r="BA298" t="str">
            <v>.</v>
          </cell>
        </row>
        <row r="299">
          <cell r="BA299" t="str">
            <v>.</v>
          </cell>
        </row>
        <row r="300">
          <cell r="BA300" t="str">
            <v>.</v>
          </cell>
        </row>
        <row r="301">
          <cell r="BA301" t="str">
            <v>.</v>
          </cell>
        </row>
        <row r="302">
          <cell r="BA302" t="str">
            <v>.</v>
          </cell>
        </row>
        <row r="303">
          <cell r="BA303" t="str">
            <v>.</v>
          </cell>
        </row>
        <row r="304">
          <cell r="BA304" t="str">
            <v>.</v>
          </cell>
        </row>
        <row r="305">
          <cell r="BA305" t="str">
            <v>.</v>
          </cell>
        </row>
        <row r="306">
          <cell r="BA306" t="str">
            <v>.</v>
          </cell>
        </row>
        <row r="307">
          <cell r="BA307" t="str">
            <v>.</v>
          </cell>
        </row>
        <row r="308">
          <cell r="BA308" t="str">
            <v>.</v>
          </cell>
        </row>
        <row r="309">
          <cell r="BA309" t="str">
            <v>.</v>
          </cell>
        </row>
        <row r="310">
          <cell r="BA310" t="str">
            <v>.</v>
          </cell>
        </row>
        <row r="311">
          <cell r="BA311" t="str">
            <v>.</v>
          </cell>
        </row>
        <row r="312">
          <cell r="BA312" t="str">
            <v>.</v>
          </cell>
        </row>
        <row r="313">
          <cell r="BA313" t="str">
            <v>.</v>
          </cell>
        </row>
        <row r="314">
          <cell r="BA314" t="str">
            <v>.</v>
          </cell>
        </row>
        <row r="315">
          <cell r="BA315" t="str">
            <v>.</v>
          </cell>
        </row>
        <row r="316">
          <cell r="BA316" t="str">
            <v>.</v>
          </cell>
        </row>
        <row r="317">
          <cell r="BA317" t="str">
            <v>.</v>
          </cell>
        </row>
        <row r="318">
          <cell r="BA318" t="str">
            <v>.</v>
          </cell>
        </row>
        <row r="319">
          <cell r="BA319" t="str">
            <v>.</v>
          </cell>
        </row>
        <row r="320">
          <cell r="BA320" t="str">
            <v>.</v>
          </cell>
        </row>
        <row r="321">
          <cell r="BA321" t="str">
            <v>.</v>
          </cell>
        </row>
        <row r="322">
          <cell r="BA322" t="str">
            <v>.</v>
          </cell>
        </row>
        <row r="323">
          <cell r="BA323" t="str">
            <v>.</v>
          </cell>
        </row>
        <row r="324">
          <cell r="BA324" t="str">
            <v>.</v>
          </cell>
        </row>
        <row r="325">
          <cell r="BA325" t="str">
            <v>.</v>
          </cell>
        </row>
        <row r="326">
          <cell r="BA326" t="str">
            <v>.</v>
          </cell>
        </row>
        <row r="327">
          <cell r="BA327" t="str">
            <v>.</v>
          </cell>
        </row>
        <row r="328">
          <cell r="BA328" t="str">
            <v>.</v>
          </cell>
        </row>
        <row r="329">
          <cell r="BA329" t="str">
            <v>.</v>
          </cell>
        </row>
        <row r="330">
          <cell r="BA330" t="str">
            <v>.</v>
          </cell>
        </row>
        <row r="331">
          <cell r="BA331" t="str">
            <v>.</v>
          </cell>
        </row>
        <row r="332">
          <cell r="BA332" t="str">
            <v>.</v>
          </cell>
        </row>
        <row r="333">
          <cell r="BA333" t="str">
            <v>.</v>
          </cell>
        </row>
        <row r="334">
          <cell r="BA334" t="str">
            <v>.</v>
          </cell>
        </row>
        <row r="335">
          <cell r="BA335" t="str">
            <v>.</v>
          </cell>
        </row>
        <row r="336">
          <cell r="BA336" t="str">
            <v>.</v>
          </cell>
        </row>
        <row r="337">
          <cell r="BA337" t="str">
            <v>.</v>
          </cell>
        </row>
        <row r="338">
          <cell r="BA338" t="str">
            <v>.</v>
          </cell>
        </row>
        <row r="339">
          <cell r="BA339" t="str">
            <v>.</v>
          </cell>
        </row>
        <row r="340">
          <cell r="BA340" t="str">
            <v>.</v>
          </cell>
        </row>
        <row r="341">
          <cell r="BA341" t="str">
            <v>.</v>
          </cell>
        </row>
        <row r="342">
          <cell r="BA342" t="str">
            <v>.</v>
          </cell>
        </row>
        <row r="343">
          <cell r="BA343" t="str">
            <v>.</v>
          </cell>
        </row>
        <row r="344">
          <cell r="BA344" t="str">
            <v>.</v>
          </cell>
        </row>
        <row r="345">
          <cell r="BA345" t="str">
            <v>.</v>
          </cell>
        </row>
        <row r="346">
          <cell r="BA346" t="str">
            <v>.</v>
          </cell>
        </row>
        <row r="347">
          <cell r="BA347" t="str">
            <v>.</v>
          </cell>
        </row>
        <row r="348">
          <cell r="BA348" t="str">
            <v>.</v>
          </cell>
        </row>
        <row r="349">
          <cell r="BA349" t="str">
            <v>.</v>
          </cell>
        </row>
        <row r="350">
          <cell r="BA350" t="str">
            <v>.</v>
          </cell>
        </row>
        <row r="351">
          <cell r="BA351" t="str">
            <v>.</v>
          </cell>
        </row>
        <row r="352">
          <cell r="BA352" t="str">
            <v>.</v>
          </cell>
        </row>
        <row r="353">
          <cell r="BA353" t="str">
            <v>.</v>
          </cell>
        </row>
        <row r="354">
          <cell r="BA354" t="str">
            <v>.</v>
          </cell>
        </row>
        <row r="355">
          <cell r="BA355" t="str">
            <v>.</v>
          </cell>
        </row>
        <row r="356">
          <cell r="BA356" t="str">
            <v>.</v>
          </cell>
        </row>
        <row r="357">
          <cell r="BA357" t="str">
            <v>.</v>
          </cell>
        </row>
        <row r="358">
          <cell r="BA358" t="str">
            <v>.</v>
          </cell>
        </row>
        <row r="359">
          <cell r="BA359" t="str">
            <v>.</v>
          </cell>
        </row>
        <row r="360">
          <cell r="BA360" t="str">
            <v>.</v>
          </cell>
        </row>
        <row r="361">
          <cell r="BA361" t="str">
            <v>.</v>
          </cell>
        </row>
        <row r="362">
          <cell r="BA362" t="str">
            <v>.</v>
          </cell>
        </row>
        <row r="363">
          <cell r="BA363" t="str">
            <v>.</v>
          </cell>
        </row>
        <row r="364">
          <cell r="BA364" t="str">
            <v>.</v>
          </cell>
        </row>
        <row r="365">
          <cell r="BA365" t="str">
            <v>.</v>
          </cell>
        </row>
        <row r="366">
          <cell r="BA366" t="str">
            <v>.</v>
          </cell>
        </row>
        <row r="367">
          <cell r="BA367" t="str">
            <v>.</v>
          </cell>
        </row>
        <row r="368">
          <cell r="BA368" t="str">
            <v>.</v>
          </cell>
        </row>
        <row r="369">
          <cell r="BA369" t="str">
            <v>.</v>
          </cell>
        </row>
        <row r="370">
          <cell r="BA370" t="str">
            <v>.</v>
          </cell>
        </row>
        <row r="371">
          <cell r="BA371" t="str">
            <v>.</v>
          </cell>
        </row>
        <row r="372">
          <cell r="BA372" t="str">
            <v>.</v>
          </cell>
        </row>
        <row r="373">
          <cell r="BA373" t="str">
            <v>.</v>
          </cell>
        </row>
        <row r="374">
          <cell r="BA374" t="str">
            <v>.</v>
          </cell>
        </row>
        <row r="375">
          <cell r="BA375" t="str">
            <v>.</v>
          </cell>
        </row>
        <row r="376">
          <cell r="BA376" t="str">
            <v>.</v>
          </cell>
        </row>
        <row r="377">
          <cell r="BA377" t="str">
            <v>.</v>
          </cell>
        </row>
        <row r="378">
          <cell r="BA378" t="str">
            <v>.</v>
          </cell>
        </row>
        <row r="379">
          <cell r="BA379" t="str">
            <v>.</v>
          </cell>
        </row>
        <row r="380">
          <cell r="BA380" t="str">
            <v>.</v>
          </cell>
        </row>
        <row r="381">
          <cell r="BA381" t="str">
            <v>.</v>
          </cell>
        </row>
        <row r="382">
          <cell r="BA382" t="str">
            <v>.</v>
          </cell>
        </row>
        <row r="383">
          <cell r="BA383" t="str">
            <v>.</v>
          </cell>
        </row>
        <row r="384">
          <cell r="BA384" t="str">
            <v>.</v>
          </cell>
        </row>
        <row r="385">
          <cell r="BA385" t="str">
            <v>.</v>
          </cell>
        </row>
        <row r="386">
          <cell r="BA386" t="str">
            <v>.</v>
          </cell>
        </row>
        <row r="387">
          <cell r="BA387" t="str">
            <v>.</v>
          </cell>
        </row>
        <row r="388">
          <cell r="BA388" t="str">
            <v>.</v>
          </cell>
        </row>
        <row r="389">
          <cell r="BA389" t="str">
            <v>.</v>
          </cell>
        </row>
        <row r="390">
          <cell r="BA390" t="str">
            <v>.</v>
          </cell>
        </row>
        <row r="391">
          <cell r="BA391" t="str">
            <v>.</v>
          </cell>
        </row>
        <row r="392">
          <cell r="BA392" t="str">
            <v>.</v>
          </cell>
        </row>
        <row r="393">
          <cell r="BA393" t="str">
            <v>.</v>
          </cell>
        </row>
        <row r="394">
          <cell r="BA394" t="str">
            <v>.</v>
          </cell>
        </row>
        <row r="395">
          <cell r="BA395" t="str">
            <v>.</v>
          </cell>
        </row>
        <row r="396">
          <cell r="BA396" t="str">
            <v>.</v>
          </cell>
        </row>
        <row r="397">
          <cell r="BA397" t="str">
            <v>.</v>
          </cell>
        </row>
        <row r="398">
          <cell r="BA398" t="str">
            <v>.</v>
          </cell>
        </row>
        <row r="399">
          <cell r="BA399" t="str">
            <v>.</v>
          </cell>
        </row>
        <row r="400">
          <cell r="BA400" t="str">
            <v>.</v>
          </cell>
        </row>
        <row r="401">
          <cell r="BA401" t="str">
            <v>.</v>
          </cell>
        </row>
        <row r="402">
          <cell r="BA402" t="str">
            <v>.</v>
          </cell>
        </row>
        <row r="403">
          <cell r="BA403" t="str">
            <v>.</v>
          </cell>
        </row>
        <row r="404">
          <cell r="BA404" t="str">
            <v>.</v>
          </cell>
        </row>
        <row r="405">
          <cell r="BA405" t="str">
            <v>.</v>
          </cell>
        </row>
        <row r="406">
          <cell r="BA406" t="str">
            <v>.</v>
          </cell>
        </row>
        <row r="407">
          <cell r="BA407" t="str">
            <v>.</v>
          </cell>
        </row>
        <row r="408">
          <cell r="BA408" t="str">
            <v>.</v>
          </cell>
        </row>
        <row r="409">
          <cell r="BA409" t="str">
            <v>.</v>
          </cell>
        </row>
        <row r="410">
          <cell r="BA410" t="str">
            <v>.</v>
          </cell>
        </row>
        <row r="411">
          <cell r="BA411" t="str">
            <v>.</v>
          </cell>
        </row>
        <row r="412">
          <cell r="BA412" t="str">
            <v>.</v>
          </cell>
        </row>
        <row r="413">
          <cell r="BA413" t="str">
            <v>.</v>
          </cell>
        </row>
        <row r="414">
          <cell r="BA414" t="str">
            <v>.</v>
          </cell>
        </row>
        <row r="415">
          <cell r="BA415" t="str">
            <v>.</v>
          </cell>
        </row>
        <row r="416">
          <cell r="BA416" t="str">
            <v>.</v>
          </cell>
        </row>
        <row r="417">
          <cell r="BA417" t="str">
            <v>.</v>
          </cell>
        </row>
        <row r="418">
          <cell r="BA418" t="str">
            <v>.</v>
          </cell>
        </row>
        <row r="419">
          <cell r="BA419" t="str">
            <v>.</v>
          </cell>
        </row>
        <row r="420">
          <cell r="BA420" t="str">
            <v>.</v>
          </cell>
        </row>
        <row r="421">
          <cell r="BA421" t="str">
            <v>.</v>
          </cell>
        </row>
        <row r="422">
          <cell r="BA422" t="str">
            <v>.</v>
          </cell>
        </row>
        <row r="423">
          <cell r="BA423" t="str">
            <v>.</v>
          </cell>
        </row>
        <row r="424">
          <cell r="BA424" t="str">
            <v>.</v>
          </cell>
        </row>
        <row r="425">
          <cell r="BA425" t="str">
            <v>.</v>
          </cell>
        </row>
        <row r="426">
          <cell r="BA426" t="str">
            <v>.</v>
          </cell>
        </row>
        <row r="427">
          <cell r="BA427" t="str">
            <v>.</v>
          </cell>
        </row>
        <row r="428">
          <cell r="BA428" t="str">
            <v>.</v>
          </cell>
        </row>
        <row r="429">
          <cell r="BA429" t="str">
            <v>.</v>
          </cell>
        </row>
        <row r="430">
          <cell r="BA430" t="str">
            <v>.</v>
          </cell>
        </row>
        <row r="431">
          <cell r="BA431" t="str">
            <v>.</v>
          </cell>
        </row>
        <row r="432">
          <cell r="BA432" t="str">
            <v>.</v>
          </cell>
        </row>
        <row r="433">
          <cell r="BA433" t="str">
            <v>.</v>
          </cell>
        </row>
        <row r="434">
          <cell r="BA434" t="str">
            <v>.</v>
          </cell>
        </row>
        <row r="435">
          <cell r="BA435" t="str">
            <v>.</v>
          </cell>
        </row>
        <row r="436">
          <cell r="BA436" t="str">
            <v>.</v>
          </cell>
        </row>
        <row r="437">
          <cell r="BA437" t="str">
            <v>.</v>
          </cell>
        </row>
        <row r="438">
          <cell r="BA438" t="str">
            <v>.</v>
          </cell>
        </row>
        <row r="439">
          <cell r="BA439" t="str">
            <v>.</v>
          </cell>
        </row>
        <row r="440">
          <cell r="BA440" t="str">
            <v>.</v>
          </cell>
        </row>
        <row r="441">
          <cell r="BA441" t="str">
            <v>.</v>
          </cell>
        </row>
        <row r="442">
          <cell r="BA442" t="str">
            <v>.</v>
          </cell>
        </row>
        <row r="443">
          <cell r="BA443" t="str">
            <v>.</v>
          </cell>
        </row>
        <row r="444">
          <cell r="BA444" t="str">
            <v>.</v>
          </cell>
        </row>
        <row r="445">
          <cell r="BA445" t="str">
            <v>.</v>
          </cell>
        </row>
        <row r="446">
          <cell r="BA446" t="str">
            <v>.</v>
          </cell>
        </row>
        <row r="447">
          <cell r="BA447" t="str">
            <v>.</v>
          </cell>
        </row>
        <row r="448">
          <cell r="BA448" t="str">
            <v>.</v>
          </cell>
        </row>
        <row r="449">
          <cell r="BA449" t="str">
            <v>.</v>
          </cell>
        </row>
        <row r="450">
          <cell r="BA450" t="str">
            <v>.</v>
          </cell>
        </row>
        <row r="451">
          <cell r="BA451" t="str">
            <v>.</v>
          </cell>
        </row>
        <row r="452">
          <cell r="BA452" t="str">
            <v>.</v>
          </cell>
        </row>
        <row r="453">
          <cell r="BA453" t="str">
            <v>.</v>
          </cell>
        </row>
        <row r="454">
          <cell r="BA454" t="str">
            <v>.</v>
          </cell>
        </row>
        <row r="455">
          <cell r="BA455" t="str">
            <v>.</v>
          </cell>
        </row>
        <row r="456">
          <cell r="BA456" t="str">
            <v>.</v>
          </cell>
        </row>
        <row r="457">
          <cell r="BA457" t="str">
            <v>.</v>
          </cell>
        </row>
        <row r="458">
          <cell r="BA458" t="str">
            <v>.</v>
          </cell>
        </row>
        <row r="459">
          <cell r="BA459" t="str">
            <v>.</v>
          </cell>
        </row>
        <row r="460">
          <cell r="BA460" t="str">
            <v>.</v>
          </cell>
        </row>
        <row r="461">
          <cell r="BA461" t="str">
            <v>.</v>
          </cell>
        </row>
        <row r="462">
          <cell r="BA462" t="str">
            <v>.</v>
          </cell>
        </row>
        <row r="463">
          <cell r="BA463" t="str">
            <v>.</v>
          </cell>
        </row>
        <row r="464">
          <cell r="BA464" t="str">
            <v>.</v>
          </cell>
        </row>
        <row r="465">
          <cell r="BA465" t="str">
            <v>.</v>
          </cell>
        </row>
        <row r="466">
          <cell r="BA466" t="str">
            <v>.</v>
          </cell>
        </row>
        <row r="467">
          <cell r="BA467" t="str">
            <v>.</v>
          </cell>
        </row>
        <row r="468">
          <cell r="BA468" t="str">
            <v>.</v>
          </cell>
        </row>
        <row r="469">
          <cell r="BA469" t="str">
            <v>.</v>
          </cell>
        </row>
        <row r="470">
          <cell r="BA470" t="str">
            <v>.</v>
          </cell>
        </row>
        <row r="471">
          <cell r="BA471" t="str">
            <v>.</v>
          </cell>
        </row>
        <row r="472">
          <cell r="BA472" t="str">
            <v>.</v>
          </cell>
        </row>
        <row r="473">
          <cell r="BA473" t="str">
            <v>.</v>
          </cell>
        </row>
        <row r="474">
          <cell r="BA474" t="str">
            <v>.</v>
          </cell>
        </row>
        <row r="475">
          <cell r="BA475" t="str">
            <v>.</v>
          </cell>
        </row>
        <row r="476">
          <cell r="BA476" t="str">
            <v>.</v>
          </cell>
        </row>
        <row r="477">
          <cell r="BA477" t="str">
            <v>.</v>
          </cell>
        </row>
        <row r="478">
          <cell r="BA478" t="str">
            <v>.</v>
          </cell>
        </row>
        <row r="479">
          <cell r="BA479" t="str">
            <v>.</v>
          </cell>
        </row>
        <row r="480">
          <cell r="BA480" t="str">
            <v>.</v>
          </cell>
        </row>
        <row r="481">
          <cell r="BA481" t="str">
            <v>.</v>
          </cell>
        </row>
        <row r="482">
          <cell r="BA482" t="str">
            <v>.</v>
          </cell>
        </row>
        <row r="483">
          <cell r="BA483" t="str">
            <v>.</v>
          </cell>
        </row>
        <row r="484">
          <cell r="BA484" t="str">
            <v>.</v>
          </cell>
        </row>
        <row r="485">
          <cell r="BA485" t="str">
            <v>.</v>
          </cell>
        </row>
        <row r="486">
          <cell r="BA486" t="str">
            <v>.</v>
          </cell>
        </row>
        <row r="487">
          <cell r="BA487" t="str">
            <v>.</v>
          </cell>
        </row>
        <row r="488">
          <cell r="BA488" t="str">
            <v>.</v>
          </cell>
        </row>
        <row r="489">
          <cell r="BA489" t="str">
            <v>.</v>
          </cell>
        </row>
        <row r="490">
          <cell r="BA490" t="str">
            <v>.</v>
          </cell>
        </row>
        <row r="491">
          <cell r="BA491" t="str">
            <v>.</v>
          </cell>
        </row>
        <row r="492">
          <cell r="BA492" t="str">
            <v>.</v>
          </cell>
        </row>
        <row r="493">
          <cell r="BA493" t="str">
            <v>.</v>
          </cell>
        </row>
        <row r="494">
          <cell r="BA494" t="str">
            <v>.</v>
          </cell>
        </row>
        <row r="495">
          <cell r="BA495" t="str">
            <v>.</v>
          </cell>
        </row>
        <row r="496">
          <cell r="BA496" t="str">
            <v>.</v>
          </cell>
        </row>
        <row r="497">
          <cell r="BA497" t="str">
            <v>.</v>
          </cell>
        </row>
        <row r="498">
          <cell r="BA498" t="str">
            <v>.</v>
          </cell>
        </row>
        <row r="499">
          <cell r="BA499" t="str">
            <v>.</v>
          </cell>
        </row>
        <row r="500">
          <cell r="BA500" t="str">
            <v>.</v>
          </cell>
        </row>
        <row r="501">
          <cell r="BA501" t="str">
            <v>.</v>
          </cell>
        </row>
        <row r="502">
          <cell r="BA502" t="str">
            <v>.</v>
          </cell>
        </row>
        <row r="503">
          <cell r="BA503" t="str">
            <v>.</v>
          </cell>
        </row>
        <row r="504">
          <cell r="BA504" t="str">
            <v>.</v>
          </cell>
        </row>
        <row r="505">
          <cell r="BA505" t="str">
            <v>.</v>
          </cell>
        </row>
        <row r="506">
          <cell r="BA506" t="str">
            <v>.</v>
          </cell>
        </row>
        <row r="507">
          <cell r="BA507" t="str">
            <v>.</v>
          </cell>
        </row>
        <row r="508">
          <cell r="BA508" t="str">
            <v>.</v>
          </cell>
        </row>
        <row r="509">
          <cell r="BA509" t="str">
            <v>.</v>
          </cell>
        </row>
        <row r="510">
          <cell r="BA510" t="str">
            <v>.</v>
          </cell>
        </row>
        <row r="511">
          <cell r="BA511" t="str">
            <v>.</v>
          </cell>
        </row>
        <row r="512">
          <cell r="BA512" t="str">
            <v>.</v>
          </cell>
        </row>
        <row r="513">
          <cell r="BA513" t="str">
            <v>.</v>
          </cell>
        </row>
        <row r="514">
          <cell r="BA514" t="str">
            <v>.</v>
          </cell>
        </row>
        <row r="515">
          <cell r="BA515" t="str">
            <v>.</v>
          </cell>
        </row>
        <row r="516">
          <cell r="BA516" t="str">
            <v>.</v>
          </cell>
        </row>
        <row r="517">
          <cell r="BA517" t="str">
            <v>.</v>
          </cell>
        </row>
        <row r="518">
          <cell r="BA518" t="str">
            <v>.</v>
          </cell>
        </row>
        <row r="519">
          <cell r="BA519" t="str">
            <v>.</v>
          </cell>
        </row>
        <row r="520">
          <cell r="BA520" t="str">
            <v>.</v>
          </cell>
        </row>
        <row r="521">
          <cell r="BA521" t="str">
            <v>.</v>
          </cell>
        </row>
        <row r="522">
          <cell r="BA522" t="str">
            <v>.</v>
          </cell>
        </row>
        <row r="523">
          <cell r="BA523" t="str">
            <v>.</v>
          </cell>
        </row>
        <row r="524">
          <cell r="BA524" t="str">
            <v>.</v>
          </cell>
        </row>
        <row r="525">
          <cell r="BA525" t="str">
            <v>.</v>
          </cell>
        </row>
        <row r="526">
          <cell r="BA526" t="str">
            <v>.</v>
          </cell>
        </row>
        <row r="527">
          <cell r="BA527" t="str">
            <v>.</v>
          </cell>
        </row>
        <row r="528">
          <cell r="BA528" t="str">
            <v>.</v>
          </cell>
        </row>
        <row r="529">
          <cell r="BA529" t="str">
            <v>.</v>
          </cell>
        </row>
        <row r="530">
          <cell r="BA530" t="str">
            <v>.</v>
          </cell>
        </row>
        <row r="531">
          <cell r="BA531" t="str">
            <v>.</v>
          </cell>
        </row>
        <row r="532">
          <cell r="BA532" t="str">
            <v>.</v>
          </cell>
        </row>
        <row r="533">
          <cell r="BA533" t="str">
            <v>.</v>
          </cell>
        </row>
        <row r="534">
          <cell r="BA534" t="str">
            <v>.</v>
          </cell>
        </row>
        <row r="535">
          <cell r="BA535" t="str">
            <v>.</v>
          </cell>
        </row>
        <row r="536">
          <cell r="BA536" t="str">
            <v>.</v>
          </cell>
        </row>
        <row r="537">
          <cell r="BA537" t="str">
            <v>.</v>
          </cell>
        </row>
        <row r="538">
          <cell r="BA538" t="str">
            <v>.</v>
          </cell>
        </row>
        <row r="539">
          <cell r="BA539" t="str">
            <v>.</v>
          </cell>
        </row>
        <row r="540">
          <cell r="BA540" t="str">
            <v>.</v>
          </cell>
        </row>
        <row r="541">
          <cell r="BA541" t="str">
            <v>.</v>
          </cell>
        </row>
        <row r="542">
          <cell r="BA542" t="str">
            <v>.</v>
          </cell>
        </row>
        <row r="543">
          <cell r="BA543" t="str">
            <v>.</v>
          </cell>
        </row>
        <row r="544">
          <cell r="BA544" t="str">
            <v>.</v>
          </cell>
        </row>
        <row r="545">
          <cell r="BA545" t="str">
            <v>.</v>
          </cell>
        </row>
        <row r="546">
          <cell r="BA546" t="str">
            <v>.</v>
          </cell>
        </row>
        <row r="547">
          <cell r="BA547" t="str">
            <v>.</v>
          </cell>
        </row>
        <row r="548">
          <cell r="BA548" t="str">
            <v>.</v>
          </cell>
        </row>
        <row r="549">
          <cell r="BA549" t="str">
            <v>.</v>
          </cell>
        </row>
        <row r="550">
          <cell r="BA550" t="str">
            <v>.</v>
          </cell>
        </row>
        <row r="551">
          <cell r="BA551" t="str">
            <v>.</v>
          </cell>
        </row>
        <row r="552">
          <cell r="BA552" t="str">
            <v>.</v>
          </cell>
        </row>
        <row r="553">
          <cell r="BA553" t="str">
            <v>.</v>
          </cell>
        </row>
        <row r="554">
          <cell r="BA554" t="str">
            <v>.</v>
          </cell>
        </row>
        <row r="555">
          <cell r="BA555" t="str">
            <v>.</v>
          </cell>
        </row>
        <row r="556">
          <cell r="BA556" t="str">
            <v>.</v>
          </cell>
        </row>
        <row r="557">
          <cell r="BA557" t="str">
            <v>.</v>
          </cell>
        </row>
        <row r="558">
          <cell r="BA558" t="str">
            <v>.</v>
          </cell>
        </row>
        <row r="559">
          <cell r="BA559" t="str">
            <v>.</v>
          </cell>
        </row>
        <row r="560">
          <cell r="BA560" t="str">
            <v>.</v>
          </cell>
        </row>
        <row r="561">
          <cell r="BA561" t="str">
            <v>.</v>
          </cell>
        </row>
        <row r="562">
          <cell r="BA562" t="str">
            <v>.</v>
          </cell>
        </row>
        <row r="563">
          <cell r="BA563" t="str">
            <v>.</v>
          </cell>
        </row>
        <row r="564">
          <cell r="BA564" t="str">
            <v>.</v>
          </cell>
        </row>
        <row r="565">
          <cell r="BA565" t="str">
            <v>.</v>
          </cell>
        </row>
        <row r="566">
          <cell r="BA566" t="str">
            <v>.</v>
          </cell>
        </row>
        <row r="567">
          <cell r="BA567" t="str">
            <v>.</v>
          </cell>
        </row>
        <row r="568">
          <cell r="BA568" t="str">
            <v>.</v>
          </cell>
        </row>
        <row r="569">
          <cell r="BA569" t="str">
            <v>.</v>
          </cell>
        </row>
        <row r="570">
          <cell r="BA570" t="str">
            <v>.</v>
          </cell>
        </row>
        <row r="571">
          <cell r="BA571" t="str">
            <v>.</v>
          </cell>
        </row>
        <row r="572">
          <cell r="BA572" t="str">
            <v>.</v>
          </cell>
        </row>
        <row r="573">
          <cell r="BA573" t="str">
            <v>.</v>
          </cell>
        </row>
        <row r="574">
          <cell r="BA574" t="str">
            <v>.</v>
          </cell>
        </row>
        <row r="575">
          <cell r="BA575" t="str">
            <v>.</v>
          </cell>
        </row>
        <row r="576">
          <cell r="BA576" t="str">
            <v>.</v>
          </cell>
        </row>
        <row r="577">
          <cell r="BA577" t="str">
            <v>.</v>
          </cell>
        </row>
        <row r="578">
          <cell r="BA578" t="str">
            <v>.</v>
          </cell>
        </row>
        <row r="579">
          <cell r="BA579" t="str">
            <v>.</v>
          </cell>
        </row>
        <row r="580">
          <cell r="BA580" t="str">
            <v>.</v>
          </cell>
        </row>
        <row r="581">
          <cell r="BA581" t="str">
            <v>.</v>
          </cell>
        </row>
        <row r="582">
          <cell r="BA582" t="str">
            <v>.</v>
          </cell>
        </row>
        <row r="583">
          <cell r="BA583" t="str">
            <v>.</v>
          </cell>
        </row>
        <row r="584">
          <cell r="BA584" t="str">
            <v>.</v>
          </cell>
        </row>
        <row r="585">
          <cell r="BA585" t="str">
            <v>.</v>
          </cell>
        </row>
        <row r="586">
          <cell r="BA586" t="str">
            <v>.</v>
          </cell>
        </row>
        <row r="587">
          <cell r="BA587" t="str">
            <v>.</v>
          </cell>
        </row>
        <row r="588">
          <cell r="BA588" t="str">
            <v>.</v>
          </cell>
        </row>
        <row r="589">
          <cell r="BA589" t="str">
            <v>.</v>
          </cell>
        </row>
        <row r="590">
          <cell r="BA590" t="str">
            <v>.</v>
          </cell>
        </row>
        <row r="591">
          <cell r="BA591" t="str">
            <v>.</v>
          </cell>
        </row>
        <row r="592">
          <cell r="BA592" t="str">
            <v>.</v>
          </cell>
        </row>
        <row r="593">
          <cell r="BA593" t="str">
            <v>.</v>
          </cell>
        </row>
        <row r="594">
          <cell r="BA594" t="str">
            <v>.</v>
          </cell>
        </row>
        <row r="595">
          <cell r="BA595" t="str">
            <v>.</v>
          </cell>
        </row>
        <row r="596">
          <cell r="BA596" t="str">
            <v>.</v>
          </cell>
        </row>
        <row r="597">
          <cell r="BA597" t="str">
            <v>.</v>
          </cell>
        </row>
        <row r="598">
          <cell r="BA598" t="str">
            <v>.</v>
          </cell>
        </row>
        <row r="599">
          <cell r="BA599" t="str">
            <v>.</v>
          </cell>
        </row>
        <row r="600">
          <cell r="BA600" t="str">
            <v>.</v>
          </cell>
        </row>
        <row r="601">
          <cell r="BA601" t="str">
            <v>.</v>
          </cell>
        </row>
        <row r="602">
          <cell r="BA602" t="str">
            <v>.</v>
          </cell>
        </row>
        <row r="603">
          <cell r="BA603" t="str">
            <v>.</v>
          </cell>
        </row>
        <row r="604">
          <cell r="BA604" t="str">
            <v>.</v>
          </cell>
        </row>
        <row r="605">
          <cell r="BA605" t="str">
            <v>.</v>
          </cell>
        </row>
        <row r="606">
          <cell r="BA606" t="str">
            <v>.</v>
          </cell>
        </row>
        <row r="607">
          <cell r="BA607" t="str">
            <v>.</v>
          </cell>
        </row>
        <row r="608">
          <cell r="BA608" t="str">
            <v>.</v>
          </cell>
        </row>
        <row r="609">
          <cell r="BA609" t="str">
            <v>.</v>
          </cell>
        </row>
        <row r="610">
          <cell r="BA610" t="str">
            <v>.</v>
          </cell>
        </row>
        <row r="611">
          <cell r="BA611" t="str">
            <v>.</v>
          </cell>
        </row>
        <row r="612">
          <cell r="BA612" t="str">
            <v>.</v>
          </cell>
        </row>
        <row r="613">
          <cell r="BA613" t="str">
            <v>.</v>
          </cell>
        </row>
        <row r="614">
          <cell r="BA614" t="str">
            <v>.</v>
          </cell>
        </row>
        <row r="615">
          <cell r="BA615" t="str">
            <v>.</v>
          </cell>
        </row>
        <row r="616">
          <cell r="BA616" t="str">
            <v>.</v>
          </cell>
        </row>
        <row r="617">
          <cell r="BA617" t="str">
            <v>.</v>
          </cell>
        </row>
        <row r="618">
          <cell r="BA618" t="str">
            <v>.</v>
          </cell>
        </row>
        <row r="619">
          <cell r="BA619" t="str">
            <v>.</v>
          </cell>
        </row>
        <row r="620">
          <cell r="BA620" t="str">
            <v>.</v>
          </cell>
        </row>
        <row r="621">
          <cell r="BA621" t="str">
            <v>.</v>
          </cell>
        </row>
        <row r="622">
          <cell r="BA622" t="str">
            <v>.</v>
          </cell>
        </row>
        <row r="623">
          <cell r="BA623" t="str">
            <v>.</v>
          </cell>
        </row>
        <row r="624">
          <cell r="BA624" t="str">
            <v>.</v>
          </cell>
        </row>
        <row r="625">
          <cell r="BA625" t="str">
            <v>.</v>
          </cell>
        </row>
        <row r="626">
          <cell r="BA626" t="str">
            <v>.</v>
          </cell>
        </row>
        <row r="627">
          <cell r="BA627" t="str">
            <v>.</v>
          </cell>
        </row>
        <row r="628">
          <cell r="BA628" t="str">
            <v>.</v>
          </cell>
        </row>
        <row r="629">
          <cell r="BA629" t="str">
            <v>.</v>
          </cell>
        </row>
        <row r="630">
          <cell r="BA630" t="str">
            <v>.</v>
          </cell>
        </row>
        <row r="631">
          <cell r="BA631" t="str">
            <v>.</v>
          </cell>
        </row>
        <row r="632">
          <cell r="BA632" t="str">
            <v>.</v>
          </cell>
        </row>
        <row r="633">
          <cell r="BA633" t="str">
            <v>.</v>
          </cell>
        </row>
        <row r="634">
          <cell r="BA634" t="str">
            <v>.</v>
          </cell>
        </row>
        <row r="635">
          <cell r="BA635" t="str">
            <v>.</v>
          </cell>
        </row>
        <row r="636">
          <cell r="BA636" t="str">
            <v>.</v>
          </cell>
        </row>
        <row r="637">
          <cell r="BA637" t="str">
            <v>.</v>
          </cell>
        </row>
        <row r="638">
          <cell r="BA638" t="str">
            <v>.</v>
          </cell>
        </row>
        <row r="639">
          <cell r="BA639" t="str">
            <v>.</v>
          </cell>
        </row>
        <row r="640">
          <cell r="BA640" t="str">
            <v>.</v>
          </cell>
        </row>
        <row r="641">
          <cell r="BA641" t="str">
            <v>.</v>
          </cell>
        </row>
        <row r="642">
          <cell r="BA642" t="str">
            <v>.</v>
          </cell>
        </row>
        <row r="643">
          <cell r="BA643" t="str">
            <v>.</v>
          </cell>
        </row>
        <row r="644">
          <cell r="BA644" t="str">
            <v>.</v>
          </cell>
        </row>
        <row r="645">
          <cell r="BA645" t="str">
            <v>.</v>
          </cell>
        </row>
        <row r="646">
          <cell r="BA646" t="str">
            <v>.</v>
          </cell>
        </row>
        <row r="647">
          <cell r="BA647" t="str">
            <v>.</v>
          </cell>
        </row>
        <row r="648">
          <cell r="BA648" t="str">
            <v>.</v>
          </cell>
        </row>
        <row r="649">
          <cell r="BA649" t="str">
            <v>.</v>
          </cell>
        </row>
        <row r="650">
          <cell r="BA650" t="str">
            <v>.</v>
          </cell>
        </row>
        <row r="651">
          <cell r="BA651" t="str">
            <v>.</v>
          </cell>
        </row>
        <row r="652">
          <cell r="BA652" t="str">
            <v>.</v>
          </cell>
        </row>
        <row r="653">
          <cell r="BA653" t="str">
            <v>.</v>
          </cell>
        </row>
        <row r="654">
          <cell r="BA654" t="str">
            <v>.</v>
          </cell>
        </row>
        <row r="655">
          <cell r="BA655" t="str">
            <v>.</v>
          </cell>
        </row>
        <row r="656">
          <cell r="BA656" t="str">
            <v>.</v>
          </cell>
        </row>
        <row r="657">
          <cell r="BA657" t="str">
            <v>.</v>
          </cell>
        </row>
        <row r="658">
          <cell r="BA658" t="str">
            <v>.</v>
          </cell>
        </row>
        <row r="659">
          <cell r="BA659" t="str">
            <v>.</v>
          </cell>
        </row>
        <row r="660">
          <cell r="BA660" t="str">
            <v>.</v>
          </cell>
        </row>
        <row r="661">
          <cell r="BA661" t="str">
            <v>.</v>
          </cell>
        </row>
        <row r="662">
          <cell r="BA662" t="str">
            <v>.</v>
          </cell>
        </row>
        <row r="663">
          <cell r="BA663" t="str">
            <v>.</v>
          </cell>
        </row>
        <row r="664">
          <cell r="BA664" t="str">
            <v>.</v>
          </cell>
        </row>
        <row r="665">
          <cell r="BA665" t="str">
            <v>.</v>
          </cell>
        </row>
        <row r="666">
          <cell r="BA666" t="str">
            <v>.</v>
          </cell>
        </row>
        <row r="667">
          <cell r="BA667" t="str">
            <v>.</v>
          </cell>
        </row>
        <row r="668">
          <cell r="BA668" t="str">
            <v>.</v>
          </cell>
        </row>
        <row r="669">
          <cell r="BA669" t="str">
            <v>.</v>
          </cell>
        </row>
        <row r="670">
          <cell r="BA670" t="str">
            <v>.</v>
          </cell>
        </row>
        <row r="671">
          <cell r="BA671" t="str">
            <v>.</v>
          </cell>
        </row>
        <row r="672">
          <cell r="BA672" t="str">
            <v>.</v>
          </cell>
        </row>
        <row r="673">
          <cell r="BA673" t="str">
            <v>.</v>
          </cell>
        </row>
        <row r="674">
          <cell r="BA674" t="str">
            <v>.</v>
          </cell>
        </row>
        <row r="675">
          <cell r="BA675" t="str">
            <v>.</v>
          </cell>
        </row>
        <row r="676">
          <cell r="BA676" t="str">
            <v>.</v>
          </cell>
        </row>
        <row r="677">
          <cell r="BA677" t="str">
            <v>.</v>
          </cell>
        </row>
        <row r="678">
          <cell r="BA678" t="str">
            <v>.</v>
          </cell>
        </row>
        <row r="679">
          <cell r="BA679" t="str">
            <v>.</v>
          </cell>
        </row>
        <row r="680">
          <cell r="BA680" t="str">
            <v>.</v>
          </cell>
        </row>
        <row r="681">
          <cell r="BA681" t="str">
            <v>.</v>
          </cell>
        </row>
        <row r="682">
          <cell r="BA682" t="str">
            <v>.</v>
          </cell>
        </row>
        <row r="683">
          <cell r="BA683" t="str">
            <v>.</v>
          </cell>
        </row>
        <row r="684">
          <cell r="BA684" t="str">
            <v>.</v>
          </cell>
        </row>
        <row r="685">
          <cell r="BA685" t="str">
            <v>.</v>
          </cell>
        </row>
        <row r="686">
          <cell r="BA686" t="str">
            <v>.</v>
          </cell>
        </row>
        <row r="687">
          <cell r="BA687" t="str">
            <v>.</v>
          </cell>
        </row>
        <row r="688">
          <cell r="BA688" t="str">
            <v>.</v>
          </cell>
        </row>
        <row r="689">
          <cell r="BA689" t="str">
            <v>.</v>
          </cell>
        </row>
        <row r="690">
          <cell r="BA690" t="str">
            <v>.</v>
          </cell>
        </row>
        <row r="691">
          <cell r="BA691" t="str">
            <v>.</v>
          </cell>
        </row>
        <row r="692">
          <cell r="BA692" t="str">
            <v>.</v>
          </cell>
        </row>
        <row r="693">
          <cell r="BA693" t="str">
            <v>.</v>
          </cell>
        </row>
        <row r="694">
          <cell r="BA694" t="str">
            <v>.</v>
          </cell>
        </row>
        <row r="695">
          <cell r="BA695" t="str">
            <v>.</v>
          </cell>
        </row>
        <row r="696">
          <cell r="BA696" t="str">
            <v>.</v>
          </cell>
        </row>
        <row r="697">
          <cell r="BA697" t="str">
            <v>.</v>
          </cell>
        </row>
        <row r="698">
          <cell r="BA698" t="str">
            <v>.</v>
          </cell>
        </row>
        <row r="699">
          <cell r="BA699" t="str">
            <v>.</v>
          </cell>
        </row>
        <row r="700">
          <cell r="BA700" t="str">
            <v>.</v>
          </cell>
        </row>
        <row r="701">
          <cell r="BA701" t="str">
            <v>.</v>
          </cell>
        </row>
        <row r="702">
          <cell r="BA702" t="str">
            <v>.</v>
          </cell>
        </row>
        <row r="703">
          <cell r="BA703" t="str">
            <v>.</v>
          </cell>
        </row>
        <row r="704">
          <cell r="BA704" t="str">
            <v>.</v>
          </cell>
        </row>
        <row r="705">
          <cell r="BA705" t="str">
            <v>.</v>
          </cell>
        </row>
        <row r="706">
          <cell r="BA706" t="str">
            <v>.</v>
          </cell>
        </row>
        <row r="707">
          <cell r="BA707" t="str">
            <v>.</v>
          </cell>
        </row>
        <row r="708">
          <cell r="BA708" t="str">
            <v>.</v>
          </cell>
        </row>
        <row r="709">
          <cell r="BA709" t="str">
            <v>.</v>
          </cell>
        </row>
        <row r="710">
          <cell r="BA710" t="str">
            <v>.</v>
          </cell>
        </row>
        <row r="711">
          <cell r="BA711" t="str">
            <v>.</v>
          </cell>
        </row>
        <row r="712">
          <cell r="BA712" t="str">
            <v>.</v>
          </cell>
        </row>
        <row r="713">
          <cell r="BA713" t="str">
            <v>.</v>
          </cell>
        </row>
        <row r="714">
          <cell r="BA714" t="str">
            <v>.</v>
          </cell>
        </row>
        <row r="715">
          <cell r="BA715" t="str">
            <v>.</v>
          </cell>
        </row>
        <row r="716">
          <cell r="BA716" t="str">
            <v>.</v>
          </cell>
        </row>
        <row r="717">
          <cell r="BA717" t="str">
            <v>.</v>
          </cell>
        </row>
        <row r="718">
          <cell r="BA718" t="str">
            <v>.</v>
          </cell>
        </row>
        <row r="719">
          <cell r="BA719" t="str">
            <v>.</v>
          </cell>
        </row>
        <row r="720">
          <cell r="BA720" t="str">
            <v>.</v>
          </cell>
        </row>
        <row r="721">
          <cell r="BA721" t="str">
            <v>.</v>
          </cell>
        </row>
        <row r="722">
          <cell r="BA722" t="str">
            <v>.</v>
          </cell>
        </row>
        <row r="723">
          <cell r="BA723" t="str">
            <v>.</v>
          </cell>
        </row>
        <row r="724">
          <cell r="BA724" t="str">
            <v>.</v>
          </cell>
        </row>
        <row r="725">
          <cell r="BA725" t="str">
            <v>.</v>
          </cell>
        </row>
        <row r="726">
          <cell r="BA726" t="str">
            <v>.</v>
          </cell>
        </row>
        <row r="727">
          <cell r="BA727" t="str">
            <v>.</v>
          </cell>
        </row>
        <row r="728">
          <cell r="BA728" t="str">
            <v>.</v>
          </cell>
        </row>
        <row r="729">
          <cell r="BA729" t="str">
            <v>.</v>
          </cell>
        </row>
        <row r="730">
          <cell r="BA730" t="str">
            <v>.</v>
          </cell>
        </row>
        <row r="731">
          <cell r="BA731" t="str">
            <v>.</v>
          </cell>
        </row>
        <row r="732">
          <cell r="BA732" t="str">
            <v>.</v>
          </cell>
        </row>
        <row r="733">
          <cell r="BA733" t="str">
            <v>.</v>
          </cell>
        </row>
        <row r="734">
          <cell r="BA734" t="str">
            <v>.</v>
          </cell>
        </row>
        <row r="735">
          <cell r="BA735" t="str">
            <v>.</v>
          </cell>
        </row>
        <row r="736">
          <cell r="BA736" t="str">
            <v>.</v>
          </cell>
        </row>
        <row r="737">
          <cell r="BA737" t="str">
            <v>.</v>
          </cell>
        </row>
        <row r="738">
          <cell r="BA738" t="str">
            <v>.</v>
          </cell>
        </row>
        <row r="739">
          <cell r="BA739" t="str">
            <v>.</v>
          </cell>
        </row>
        <row r="740">
          <cell r="BA740" t="str">
            <v>.</v>
          </cell>
        </row>
        <row r="741">
          <cell r="BA741" t="str">
            <v>.</v>
          </cell>
        </row>
        <row r="742">
          <cell r="BA742" t="str">
            <v>.</v>
          </cell>
        </row>
        <row r="743">
          <cell r="BA743" t="str">
            <v>.</v>
          </cell>
        </row>
        <row r="744">
          <cell r="BA744" t="str">
            <v>.</v>
          </cell>
        </row>
        <row r="745">
          <cell r="BA745" t="str">
            <v>.</v>
          </cell>
        </row>
        <row r="746">
          <cell r="BA746" t="str">
            <v>.</v>
          </cell>
        </row>
        <row r="747">
          <cell r="BA747" t="str">
            <v>.</v>
          </cell>
        </row>
        <row r="748">
          <cell r="BA748" t="str">
            <v>.</v>
          </cell>
        </row>
        <row r="749">
          <cell r="BA749" t="str">
            <v>.</v>
          </cell>
        </row>
        <row r="750">
          <cell r="BA750" t="str">
            <v>.</v>
          </cell>
        </row>
        <row r="751">
          <cell r="BA751" t="str">
            <v>.</v>
          </cell>
        </row>
        <row r="752">
          <cell r="BA752" t="str">
            <v>.</v>
          </cell>
        </row>
        <row r="753">
          <cell r="BA753" t="str">
            <v>.</v>
          </cell>
        </row>
        <row r="754">
          <cell r="BA754" t="str">
            <v>.</v>
          </cell>
        </row>
        <row r="755">
          <cell r="BA755" t="str">
            <v>.</v>
          </cell>
        </row>
        <row r="756">
          <cell r="BA756" t="str">
            <v>.</v>
          </cell>
        </row>
        <row r="757">
          <cell r="BA757" t="str">
            <v>.</v>
          </cell>
        </row>
        <row r="758">
          <cell r="BA758" t="str">
            <v>.</v>
          </cell>
        </row>
        <row r="759">
          <cell r="BA759" t="str">
            <v>.</v>
          </cell>
        </row>
        <row r="760">
          <cell r="BA760" t="str">
            <v>.</v>
          </cell>
        </row>
        <row r="761">
          <cell r="BA761" t="str">
            <v>.</v>
          </cell>
        </row>
        <row r="762">
          <cell r="BA762" t="str">
            <v>.</v>
          </cell>
        </row>
        <row r="763">
          <cell r="BA763" t="str">
            <v>.</v>
          </cell>
        </row>
        <row r="764">
          <cell r="BA764" t="str">
            <v>.</v>
          </cell>
        </row>
        <row r="765">
          <cell r="BA765" t="str">
            <v>.</v>
          </cell>
        </row>
        <row r="766">
          <cell r="BA766" t="str">
            <v>.</v>
          </cell>
        </row>
        <row r="767">
          <cell r="BA767" t="str">
            <v>.</v>
          </cell>
        </row>
        <row r="768">
          <cell r="BA768" t="str">
            <v>.</v>
          </cell>
        </row>
        <row r="769">
          <cell r="BA769" t="str">
            <v>.</v>
          </cell>
        </row>
        <row r="770">
          <cell r="BA770" t="str">
            <v>.</v>
          </cell>
        </row>
        <row r="771">
          <cell r="BA771" t="str">
            <v>.</v>
          </cell>
        </row>
        <row r="772">
          <cell r="BA772" t="str">
            <v>.</v>
          </cell>
        </row>
        <row r="773">
          <cell r="BA773" t="str">
            <v>.</v>
          </cell>
        </row>
        <row r="774">
          <cell r="BA774" t="str">
            <v>.</v>
          </cell>
        </row>
        <row r="775">
          <cell r="BA775" t="str">
            <v>.</v>
          </cell>
        </row>
        <row r="776">
          <cell r="BA776" t="str">
            <v>.</v>
          </cell>
        </row>
        <row r="777">
          <cell r="BA777" t="str">
            <v>.</v>
          </cell>
        </row>
        <row r="778">
          <cell r="BA778" t="str">
            <v>.</v>
          </cell>
        </row>
        <row r="779">
          <cell r="BA779" t="str">
            <v>.</v>
          </cell>
        </row>
        <row r="780">
          <cell r="BA780" t="str">
            <v>.</v>
          </cell>
        </row>
        <row r="781">
          <cell r="BA781" t="str">
            <v>.</v>
          </cell>
        </row>
        <row r="782">
          <cell r="BA782" t="str">
            <v>.</v>
          </cell>
        </row>
        <row r="783">
          <cell r="BA783" t="str">
            <v>.</v>
          </cell>
        </row>
        <row r="784">
          <cell r="BA784" t="str">
            <v>.</v>
          </cell>
        </row>
        <row r="785">
          <cell r="BA785" t="str">
            <v>.</v>
          </cell>
        </row>
        <row r="786">
          <cell r="BA786" t="str">
            <v>.</v>
          </cell>
        </row>
        <row r="787">
          <cell r="BA787" t="str">
            <v>.</v>
          </cell>
        </row>
        <row r="788">
          <cell r="BA788" t="str">
            <v>.</v>
          </cell>
        </row>
        <row r="789">
          <cell r="BA789" t="str">
            <v>.</v>
          </cell>
        </row>
        <row r="790">
          <cell r="BA790" t="str">
            <v>.</v>
          </cell>
        </row>
        <row r="791">
          <cell r="BA791" t="str">
            <v>.</v>
          </cell>
        </row>
        <row r="792">
          <cell r="BA792" t="str">
            <v>.</v>
          </cell>
        </row>
        <row r="793">
          <cell r="BA793" t="str">
            <v>.</v>
          </cell>
        </row>
        <row r="794">
          <cell r="BA794" t="str">
            <v>.</v>
          </cell>
        </row>
        <row r="795">
          <cell r="BA795" t="str">
            <v>.</v>
          </cell>
        </row>
        <row r="796">
          <cell r="BA796" t="str">
            <v>.</v>
          </cell>
        </row>
        <row r="797">
          <cell r="BA797" t="str">
            <v>.</v>
          </cell>
        </row>
        <row r="798">
          <cell r="BA798" t="str">
            <v>.</v>
          </cell>
        </row>
        <row r="799">
          <cell r="BA799" t="str">
            <v>.</v>
          </cell>
        </row>
        <row r="800">
          <cell r="BA800" t="str">
            <v>.</v>
          </cell>
        </row>
        <row r="801">
          <cell r="BA801" t="str">
            <v>.</v>
          </cell>
        </row>
        <row r="802">
          <cell r="BA802" t="str">
            <v>.</v>
          </cell>
        </row>
        <row r="803">
          <cell r="BA803" t="str">
            <v>.</v>
          </cell>
        </row>
        <row r="804">
          <cell r="BA804" t="str">
            <v>.</v>
          </cell>
        </row>
        <row r="805">
          <cell r="BA805" t="str">
            <v>.</v>
          </cell>
        </row>
        <row r="806">
          <cell r="BA806" t="str">
            <v>.</v>
          </cell>
        </row>
        <row r="807">
          <cell r="BA807" t="str">
            <v>.</v>
          </cell>
        </row>
        <row r="808">
          <cell r="BA808" t="str">
            <v>.</v>
          </cell>
        </row>
        <row r="809">
          <cell r="BA809" t="str">
            <v>.</v>
          </cell>
        </row>
        <row r="810">
          <cell r="BA810" t="str">
            <v>.</v>
          </cell>
        </row>
        <row r="811">
          <cell r="BA811" t="str">
            <v>.</v>
          </cell>
        </row>
        <row r="812">
          <cell r="BA812" t="str">
            <v>.</v>
          </cell>
        </row>
        <row r="813">
          <cell r="BA813" t="str">
            <v>.</v>
          </cell>
        </row>
        <row r="814">
          <cell r="BA814" t="str">
            <v>.</v>
          </cell>
        </row>
        <row r="815">
          <cell r="BA815" t="str">
            <v>.</v>
          </cell>
        </row>
        <row r="816">
          <cell r="BA816" t="str">
            <v>.</v>
          </cell>
        </row>
        <row r="817">
          <cell r="BA817" t="str">
            <v>.</v>
          </cell>
        </row>
        <row r="818">
          <cell r="BA818" t="str">
            <v>.</v>
          </cell>
        </row>
        <row r="819">
          <cell r="BA819" t="str">
            <v>.</v>
          </cell>
        </row>
        <row r="820">
          <cell r="BA820" t="str">
            <v>.</v>
          </cell>
        </row>
        <row r="821">
          <cell r="BA821" t="str">
            <v>.</v>
          </cell>
        </row>
        <row r="822">
          <cell r="BA822" t="str">
            <v>.</v>
          </cell>
        </row>
        <row r="823">
          <cell r="BA823" t="str">
            <v>.</v>
          </cell>
        </row>
        <row r="824">
          <cell r="BA824" t="str">
            <v>.</v>
          </cell>
        </row>
        <row r="825">
          <cell r="BA825" t="str">
            <v>.</v>
          </cell>
        </row>
        <row r="826">
          <cell r="BA826" t="str">
            <v>.</v>
          </cell>
        </row>
        <row r="827">
          <cell r="BA827" t="str">
            <v>.</v>
          </cell>
        </row>
        <row r="828">
          <cell r="BA828" t="str">
            <v>.</v>
          </cell>
        </row>
        <row r="829">
          <cell r="BA829" t="str">
            <v>.</v>
          </cell>
        </row>
        <row r="830">
          <cell r="BA830" t="str">
            <v>.</v>
          </cell>
        </row>
        <row r="831">
          <cell r="BA831" t="str">
            <v>.</v>
          </cell>
        </row>
        <row r="832">
          <cell r="BA832" t="str">
            <v>.</v>
          </cell>
        </row>
        <row r="833">
          <cell r="BA833" t="str">
            <v>.</v>
          </cell>
        </row>
        <row r="834">
          <cell r="BA834" t="str">
            <v>.</v>
          </cell>
        </row>
        <row r="835">
          <cell r="BA835" t="str">
            <v>.</v>
          </cell>
        </row>
        <row r="836">
          <cell r="BA836" t="str">
            <v>.</v>
          </cell>
        </row>
        <row r="837">
          <cell r="BA837" t="str">
            <v>.</v>
          </cell>
        </row>
        <row r="838">
          <cell r="BA838" t="str">
            <v>.</v>
          </cell>
        </row>
        <row r="839">
          <cell r="BA839" t="str">
            <v>.</v>
          </cell>
        </row>
        <row r="840">
          <cell r="BA840" t="str">
            <v>.</v>
          </cell>
        </row>
        <row r="841">
          <cell r="BA841" t="str">
            <v>.</v>
          </cell>
        </row>
        <row r="842">
          <cell r="BA842" t="str">
            <v>.</v>
          </cell>
        </row>
        <row r="843">
          <cell r="BA843" t="str">
            <v>.</v>
          </cell>
        </row>
        <row r="844">
          <cell r="BA844" t="str">
            <v>.</v>
          </cell>
        </row>
        <row r="845">
          <cell r="BA845" t="str">
            <v>.</v>
          </cell>
        </row>
        <row r="846">
          <cell r="BA846" t="str">
            <v>.</v>
          </cell>
        </row>
        <row r="847">
          <cell r="BA847" t="str">
            <v>.</v>
          </cell>
        </row>
        <row r="848">
          <cell r="BA848" t="str">
            <v>.</v>
          </cell>
        </row>
        <row r="849">
          <cell r="BA849" t="str">
            <v>.</v>
          </cell>
        </row>
        <row r="850">
          <cell r="BA850" t="str">
            <v>.</v>
          </cell>
        </row>
        <row r="851">
          <cell r="BA851" t="str">
            <v>.</v>
          </cell>
        </row>
        <row r="852">
          <cell r="BA852" t="str">
            <v>.</v>
          </cell>
        </row>
        <row r="853">
          <cell r="BA853" t="str">
            <v>.</v>
          </cell>
        </row>
        <row r="854">
          <cell r="BA854" t="str">
            <v>.</v>
          </cell>
        </row>
        <row r="855">
          <cell r="BA855" t="str">
            <v>.</v>
          </cell>
        </row>
        <row r="856">
          <cell r="BA856" t="str">
            <v>.</v>
          </cell>
        </row>
        <row r="857">
          <cell r="BA857" t="str">
            <v>.</v>
          </cell>
        </row>
        <row r="858">
          <cell r="BA858" t="str">
            <v>.</v>
          </cell>
        </row>
        <row r="859">
          <cell r="BA859" t="str">
            <v>.</v>
          </cell>
        </row>
        <row r="860">
          <cell r="BA860" t="str">
            <v>.</v>
          </cell>
        </row>
        <row r="861">
          <cell r="BA861" t="str">
            <v>.</v>
          </cell>
        </row>
        <row r="862">
          <cell r="BA862" t="str">
            <v>.</v>
          </cell>
        </row>
        <row r="863">
          <cell r="BA863" t="str">
            <v>.</v>
          </cell>
        </row>
        <row r="864">
          <cell r="BA864" t="str">
            <v>.</v>
          </cell>
        </row>
        <row r="865">
          <cell r="BA865" t="str">
            <v>.</v>
          </cell>
        </row>
        <row r="866">
          <cell r="BA866" t="str">
            <v>.</v>
          </cell>
        </row>
        <row r="867">
          <cell r="BA867" t="str">
            <v>.</v>
          </cell>
        </row>
        <row r="868">
          <cell r="BA868" t="str">
            <v>.</v>
          </cell>
        </row>
        <row r="869">
          <cell r="BA869" t="str">
            <v>.</v>
          </cell>
        </row>
        <row r="870">
          <cell r="BA870" t="str">
            <v>.</v>
          </cell>
        </row>
        <row r="871">
          <cell r="BA871" t="str">
            <v>.</v>
          </cell>
        </row>
        <row r="872">
          <cell r="BA872" t="str">
            <v>.</v>
          </cell>
        </row>
        <row r="873">
          <cell r="BA873" t="str">
            <v>.</v>
          </cell>
        </row>
        <row r="874">
          <cell r="BA874" t="str">
            <v>.</v>
          </cell>
        </row>
        <row r="875">
          <cell r="BA875" t="str">
            <v>.</v>
          </cell>
        </row>
        <row r="876">
          <cell r="BA876" t="str">
            <v>.</v>
          </cell>
        </row>
        <row r="877">
          <cell r="BA877" t="str">
            <v>.</v>
          </cell>
        </row>
        <row r="878">
          <cell r="BA878" t="str">
            <v>.</v>
          </cell>
        </row>
        <row r="879">
          <cell r="BA879" t="str">
            <v>.</v>
          </cell>
        </row>
        <row r="880">
          <cell r="BA880" t="str">
            <v>.</v>
          </cell>
        </row>
        <row r="881">
          <cell r="BA881" t="str">
            <v>.</v>
          </cell>
        </row>
        <row r="882">
          <cell r="BA882" t="str">
            <v>.</v>
          </cell>
        </row>
        <row r="883">
          <cell r="BA883" t="str">
            <v>.</v>
          </cell>
        </row>
        <row r="884">
          <cell r="BA884" t="str">
            <v>.</v>
          </cell>
        </row>
        <row r="885">
          <cell r="BA885" t="str">
            <v>.</v>
          </cell>
        </row>
        <row r="886">
          <cell r="BA886" t="str">
            <v>.</v>
          </cell>
        </row>
        <row r="887">
          <cell r="BA887" t="str">
            <v>.</v>
          </cell>
        </row>
        <row r="888">
          <cell r="BA888" t="str">
            <v>.</v>
          </cell>
        </row>
        <row r="889">
          <cell r="BA889" t="str">
            <v>.</v>
          </cell>
        </row>
        <row r="890">
          <cell r="BA890" t="str">
            <v>.</v>
          </cell>
        </row>
        <row r="891">
          <cell r="BA891" t="str">
            <v>.</v>
          </cell>
        </row>
        <row r="892">
          <cell r="BA892" t="str">
            <v>.</v>
          </cell>
        </row>
        <row r="893">
          <cell r="BA893" t="str">
            <v>.</v>
          </cell>
        </row>
        <row r="894">
          <cell r="BA894" t="str">
            <v>.</v>
          </cell>
        </row>
        <row r="895">
          <cell r="BA895" t="str">
            <v>.</v>
          </cell>
        </row>
        <row r="896">
          <cell r="BA896" t="str">
            <v>.</v>
          </cell>
        </row>
        <row r="897">
          <cell r="BA897" t="str">
            <v>.</v>
          </cell>
        </row>
        <row r="898">
          <cell r="BA898" t="str">
            <v>.</v>
          </cell>
        </row>
        <row r="899">
          <cell r="BA899" t="str">
            <v>.</v>
          </cell>
        </row>
        <row r="900">
          <cell r="BA900" t="str">
            <v>.</v>
          </cell>
        </row>
        <row r="901">
          <cell r="BA901" t="str">
            <v>.</v>
          </cell>
        </row>
        <row r="902">
          <cell r="BA902" t="str">
            <v>.</v>
          </cell>
        </row>
        <row r="903">
          <cell r="BA903" t="str">
            <v>.</v>
          </cell>
        </row>
        <row r="904">
          <cell r="BA904" t="str">
            <v>.</v>
          </cell>
        </row>
        <row r="905">
          <cell r="BA905" t="str">
            <v>.</v>
          </cell>
        </row>
        <row r="906">
          <cell r="BA906" t="str">
            <v>.</v>
          </cell>
        </row>
        <row r="907">
          <cell r="BA907" t="str">
            <v>.</v>
          </cell>
        </row>
        <row r="908">
          <cell r="BA908" t="str">
            <v>.</v>
          </cell>
        </row>
        <row r="909">
          <cell r="BA909" t="str">
            <v>.</v>
          </cell>
        </row>
        <row r="910">
          <cell r="BA910" t="str">
            <v>.</v>
          </cell>
        </row>
        <row r="911">
          <cell r="BA911" t="str">
            <v>.</v>
          </cell>
        </row>
        <row r="912">
          <cell r="BA912" t="str">
            <v>.</v>
          </cell>
        </row>
        <row r="913">
          <cell r="BA913" t="str">
            <v>.</v>
          </cell>
        </row>
        <row r="914">
          <cell r="BA914" t="str">
            <v>.</v>
          </cell>
        </row>
        <row r="915">
          <cell r="BA915" t="str">
            <v>.</v>
          </cell>
        </row>
        <row r="916">
          <cell r="BA916" t="str">
            <v>.</v>
          </cell>
        </row>
        <row r="917">
          <cell r="BA917" t="str">
            <v>.</v>
          </cell>
        </row>
        <row r="918">
          <cell r="BA918" t="str">
            <v>.</v>
          </cell>
        </row>
        <row r="919">
          <cell r="BA919" t="str">
            <v>.</v>
          </cell>
        </row>
        <row r="920">
          <cell r="BA920" t="str">
            <v>.</v>
          </cell>
        </row>
        <row r="921">
          <cell r="BA921" t="str">
            <v>.</v>
          </cell>
        </row>
        <row r="922">
          <cell r="BA922" t="str">
            <v>.</v>
          </cell>
        </row>
        <row r="923">
          <cell r="BA923" t="str">
            <v>.</v>
          </cell>
        </row>
        <row r="924">
          <cell r="BA924" t="str">
            <v>.</v>
          </cell>
        </row>
        <row r="925">
          <cell r="BA925" t="str">
            <v>.</v>
          </cell>
        </row>
        <row r="926">
          <cell r="BA926" t="str">
            <v>.</v>
          </cell>
        </row>
        <row r="927">
          <cell r="BA927" t="str">
            <v>.</v>
          </cell>
        </row>
        <row r="928">
          <cell r="BA928" t="str">
            <v>.</v>
          </cell>
        </row>
        <row r="929">
          <cell r="BA929" t="str">
            <v>.</v>
          </cell>
        </row>
        <row r="930">
          <cell r="BA930" t="str">
            <v>.</v>
          </cell>
        </row>
        <row r="931">
          <cell r="BA931" t="str">
            <v>.</v>
          </cell>
        </row>
        <row r="932">
          <cell r="BA932" t="str">
            <v>.</v>
          </cell>
        </row>
        <row r="933">
          <cell r="BA933" t="str">
            <v>.</v>
          </cell>
        </row>
        <row r="934">
          <cell r="BA934" t="str">
            <v>.</v>
          </cell>
        </row>
        <row r="935">
          <cell r="BA935" t="str">
            <v>.</v>
          </cell>
        </row>
        <row r="936">
          <cell r="BA936" t="str">
            <v>.</v>
          </cell>
        </row>
        <row r="937">
          <cell r="BA937" t="str">
            <v>.</v>
          </cell>
        </row>
        <row r="938">
          <cell r="BA938" t="str">
            <v>.</v>
          </cell>
        </row>
        <row r="939">
          <cell r="BA939" t="str">
            <v>.</v>
          </cell>
        </row>
        <row r="940">
          <cell r="BA940" t="str">
            <v>.</v>
          </cell>
        </row>
        <row r="941">
          <cell r="BA941" t="str">
            <v>.</v>
          </cell>
        </row>
        <row r="942">
          <cell r="BA942" t="str">
            <v>.</v>
          </cell>
        </row>
        <row r="943">
          <cell r="BA943" t="str">
            <v>.</v>
          </cell>
        </row>
        <row r="944">
          <cell r="BA944" t="str">
            <v>.</v>
          </cell>
        </row>
        <row r="945">
          <cell r="BA945" t="str">
            <v>.</v>
          </cell>
        </row>
        <row r="946">
          <cell r="BA946" t="str">
            <v>.</v>
          </cell>
        </row>
        <row r="947">
          <cell r="BA947" t="str">
            <v>.</v>
          </cell>
        </row>
        <row r="948">
          <cell r="BA948" t="str">
            <v>.</v>
          </cell>
        </row>
        <row r="949">
          <cell r="BA949" t="str">
            <v>.</v>
          </cell>
        </row>
        <row r="950">
          <cell r="BA950" t="str">
            <v>.</v>
          </cell>
        </row>
        <row r="951">
          <cell r="BA951" t="str">
            <v>.</v>
          </cell>
        </row>
        <row r="952">
          <cell r="BA952" t="str">
            <v>.</v>
          </cell>
        </row>
        <row r="953">
          <cell r="BA953" t="str">
            <v>.</v>
          </cell>
        </row>
        <row r="954">
          <cell r="BA954" t="str">
            <v>.</v>
          </cell>
        </row>
        <row r="955">
          <cell r="BA955" t="str">
            <v>.</v>
          </cell>
        </row>
        <row r="956">
          <cell r="BA956" t="str">
            <v>.</v>
          </cell>
        </row>
        <row r="957">
          <cell r="BA957" t="str">
            <v>.</v>
          </cell>
        </row>
        <row r="958">
          <cell r="BA958" t="str">
            <v>.</v>
          </cell>
        </row>
        <row r="959">
          <cell r="BA959" t="str">
            <v>.</v>
          </cell>
        </row>
        <row r="960">
          <cell r="BA960" t="str">
            <v>.</v>
          </cell>
        </row>
        <row r="961">
          <cell r="BA961" t="str">
            <v>.</v>
          </cell>
        </row>
        <row r="962">
          <cell r="BA962" t="str">
            <v>.</v>
          </cell>
        </row>
        <row r="963">
          <cell r="BA963" t="str">
            <v>.</v>
          </cell>
        </row>
        <row r="964">
          <cell r="BA964" t="str">
            <v>.</v>
          </cell>
        </row>
        <row r="965">
          <cell r="BA965" t="str">
            <v>.</v>
          </cell>
        </row>
        <row r="966">
          <cell r="BA966" t="str">
            <v>.</v>
          </cell>
        </row>
        <row r="967">
          <cell r="BA967" t="str">
            <v>.</v>
          </cell>
        </row>
        <row r="968">
          <cell r="BA968" t="str">
            <v>.</v>
          </cell>
        </row>
        <row r="969">
          <cell r="BA969" t="str">
            <v>.</v>
          </cell>
        </row>
        <row r="970">
          <cell r="BA970" t="str">
            <v>.</v>
          </cell>
        </row>
        <row r="971">
          <cell r="BA971" t="str">
            <v>.</v>
          </cell>
        </row>
        <row r="972">
          <cell r="BA972" t="str">
            <v>.</v>
          </cell>
        </row>
        <row r="973">
          <cell r="BA973" t="str">
            <v>.</v>
          </cell>
        </row>
        <row r="974">
          <cell r="BA974" t="str">
            <v>.</v>
          </cell>
        </row>
        <row r="975">
          <cell r="BA975" t="str">
            <v>.</v>
          </cell>
        </row>
        <row r="976">
          <cell r="BA976" t="str">
            <v>.</v>
          </cell>
        </row>
        <row r="977">
          <cell r="BA977" t="str">
            <v>.</v>
          </cell>
        </row>
        <row r="978">
          <cell r="BA978" t="str">
            <v>.</v>
          </cell>
        </row>
        <row r="979">
          <cell r="BA979" t="str">
            <v>.</v>
          </cell>
        </row>
        <row r="980">
          <cell r="BA980" t="str">
            <v>.</v>
          </cell>
        </row>
        <row r="981">
          <cell r="BA981" t="str">
            <v>.</v>
          </cell>
        </row>
        <row r="982">
          <cell r="BA982" t="str">
            <v>.</v>
          </cell>
        </row>
        <row r="983">
          <cell r="BA983" t="str">
            <v>.</v>
          </cell>
        </row>
        <row r="984">
          <cell r="BA984" t="str">
            <v>.</v>
          </cell>
        </row>
        <row r="985">
          <cell r="BA985" t="str">
            <v>.</v>
          </cell>
        </row>
        <row r="986">
          <cell r="BA986" t="str">
            <v>.</v>
          </cell>
        </row>
        <row r="987">
          <cell r="BA987" t="str">
            <v>.</v>
          </cell>
        </row>
        <row r="988">
          <cell r="BA988" t="str">
            <v>.</v>
          </cell>
        </row>
        <row r="989">
          <cell r="BA989" t="str">
            <v>.</v>
          </cell>
        </row>
        <row r="990">
          <cell r="BA990" t="str">
            <v>.</v>
          </cell>
        </row>
        <row r="991">
          <cell r="BA991" t="str">
            <v>.</v>
          </cell>
        </row>
        <row r="992">
          <cell r="BA992" t="str">
            <v>.</v>
          </cell>
        </row>
        <row r="993">
          <cell r="BA993" t="str">
            <v>.</v>
          </cell>
        </row>
        <row r="994">
          <cell r="BA994" t="str">
            <v>.</v>
          </cell>
        </row>
        <row r="995">
          <cell r="BA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row>
      </sheetData>
      <sheetData sheetId="4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 xml:space="preserve">YoY EPS Growth </v>
          </cell>
          <cell r="AD8">
            <v>0</v>
          </cell>
        </row>
        <row r="10">
          <cell r="C10" t="str">
            <v>Input your data here:</v>
          </cell>
          <cell r="BC10" t="str">
            <v>.</v>
          </cell>
        </row>
        <row r="11">
          <cell r="D11" t="str">
            <v xml:space="preserve">YoY EPS Growth </v>
          </cell>
          <cell r="E11" t="str">
            <v>YoY Change in Operating Margin (Bps)</v>
          </cell>
          <cell r="BC11" t="str">
            <v>.</v>
          </cell>
        </row>
        <row r="12">
          <cell r="C12">
            <v>2000</v>
          </cell>
          <cell r="D12">
            <v>8.3561204063904659E-2</v>
          </cell>
          <cell r="E12">
            <v>59.181187405928647</v>
          </cell>
        </row>
        <row r="13">
          <cell r="C13">
            <v>2001</v>
          </cell>
          <cell r="D13">
            <v>-6.5956940135242337E-2</v>
          </cell>
          <cell r="E13">
            <v>-138.12129794438715</v>
          </cell>
        </row>
        <row r="14">
          <cell r="C14">
            <v>2002</v>
          </cell>
          <cell r="D14">
            <v>-0.18646113912624163</v>
          </cell>
          <cell r="E14">
            <v>-175.09606092472819</v>
          </cell>
          <cell r="BC14" t="str">
            <v>.</v>
          </cell>
        </row>
        <row r="15">
          <cell r="C15">
            <v>2003</v>
          </cell>
          <cell r="D15">
            <v>-0.35244332686153579</v>
          </cell>
          <cell r="E15">
            <v>-327.42963971231291</v>
          </cell>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1" refreshError="1">
        <row r="1">
          <cell r="N1" t="str">
            <v>SmartCharts</v>
          </cell>
          <cell r="AW1" t="str">
            <v>.</v>
          </cell>
        </row>
        <row r="2">
          <cell r="AW2" t="str">
            <v>.</v>
          </cell>
        </row>
        <row r="3">
          <cell r="AW3" t="str">
            <v>.</v>
          </cell>
        </row>
        <row r="4">
          <cell r="AW4" t="str">
            <v>.</v>
          </cell>
        </row>
        <row r="5">
          <cell r="C5" t="str">
            <v>Define value axis here:</v>
          </cell>
        </row>
        <row r="6">
          <cell r="C6" t="str">
            <v xml:space="preserve">TUP's Emerging Markets as % of Sales </v>
          </cell>
        </row>
        <row r="10">
          <cell r="C10" t="str">
            <v>Input your data here:</v>
          </cell>
          <cell r="AW10" t="str">
            <v>.</v>
          </cell>
        </row>
        <row r="11">
          <cell r="C11">
            <v>2004</v>
          </cell>
          <cell r="D11">
            <v>0.2</v>
          </cell>
        </row>
        <row r="12">
          <cell r="C12">
            <v>2005</v>
          </cell>
          <cell r="D12">
            <v>0.25</v>
          </cell>
          <cell r="F12">
            <v>45</v>
          </cell>
          <cell r="G12">
            <v>50</v>
          </cell>
          <cell r="H12">
            <v>50</v>
          </cell>
          <cell r="AW12" t="str">
            <v>.</v>
          </cell>
        </row>
        <row r="13">
          <cell r="C13">
            <v>2006</v>
          </cell>
          <cell r="D13">
            <v>0.42</v>
          </cell>
          <cell r="AW13" t="str">
            <v>.</v>
          </cell>
        </row>
        <row r="14">
          <cell r="C14">
            <v>2007</v>
          </cell>
          <cell r="D14">
            <v>0.45</v>
          </cell>
          <cell r="AW14" t="str">
            <v>.</v>
          </cell>
        </row>
        <row r="15">
          <cell r="C15">
            <v>2008</v>
          </cell>
          <cell r="D15">
            <v>0.5</v>
          </cell>
          <cell r="AW15" t="str">
            <v>.</v>
          </cell>
        </row>
        <row r="16">
          <cell r="C16" t="str">
            <v>2009 YTD</v>
          </cell>
          <cell r="D16">
            <v>0.5</v>
          </cell>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42"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Organic Sales Growth</v>
          </cell>
          <cell r="AD8">
            <v>0</v>
          </cell>
        </row>
        <row r="10">
          <cell r="C10" t="str">
            <v>Input your data here:</v>
          </cell>
          <cell r="BC10" t="str">
            <v>.</v>
          </cell>
        </row>
        <row r="11">
          <cell r="D11" t="str">
            <v>Organic Sales Growth</v>
          </cell>
          <cell r="E11" t="str">
            <v>Two-Year Average Organic Sales Growth</v>
          </cell>
          <cell r="BC11" t="str">
            <v>.</v>
          </cell>
        </row>
        <row r="12">
          <cell r="C12">
            <v>2003</v>
          </cell>
          <cell r="D12">
            <v>-1.4318078840054316E-2</v>
          </cell>
          <cell r="E12">
            <v>-1.6696559664763525E-2</v>
          </cell>
        </row>
        <row r="13">
          <cell r="C13">
            <v>2004</v>
          </cell>
          <cell r="D13">
            <v>-2.1859296482412138E-2</v>
          </cell>
          <cell r="E13">
            <v>-1.8088687661233227E-2</v>
          </cell>
        </row>
        <row r="14">
          <cell r="C14">
            <v>2005</v>
          </cell>
          <cell r="D14">
            <v>4.0676304827248266E-2</v>
          </cell>
          <cell r="E14">
            <v>9.408504172418064E-3</v>
          </cell>
          <cell r="BC14" t="str">
            <v>.</v>
          </cell>
        </row>
        <row r="15">
          <cell r="C15">
            <v>2006</v>
          </cell>
          <cell r="D15">
            <v>0</v>
          </cell>
          <cell r="E15">
            <v>2.0338152413624133E-2</v>
          </cell>
          <cell r="BC15" t="str">
            <v>.</v>
          </cell>
        </row>
        <row r="16">
          <cell r="C16">
            <v>2007</v>
          </cell>
          <cell r="D16">
            <v>9.1930951425130525E-2</v>
          </cell>
          <cell r="E16">
            <v>4.5965475712565262E-2</v>
          </cell>
          <cell r="BC16" t="str">
            <v>.</v>
          </cell>
        </row>
        <row r="17">
          <cell r="C17">
            <v>2008</v>
          </cell>
          <cell r="D17">
            <v>7.6864843040274744E-2</v>
          </cell>
          <cell r="E17">
            <v>8.4397897232702634E-2</v>
          </cell>
          <cell r="BC17" t="str">
            <v>.</v>
          </cell>
        </row>
        <row r="18">
          <cell r="C18" t="str">
            <v>H109</v>
          </cell>
          <cell r="D18">
            <v>2.5899999999999999E-2</v>
          </cell>
          <cell r="E18">
            <v>6.2950000000000006E-2</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3"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Our Estimates vs. Consensus</v>
          </cell>
          <cell r="AD8">
            <v>0</v>
          </cell>
        </row>
        <row r="10">
          <cell r="C10" t="str">
            <v>Input your data here:</v>
          </cell>
          <cell r="BC10" t="str">
            <v>.</v>
          </cell>
        </row>
        <row r="11">
          <cell r="D11" t="str">
            <v>Our Estimates vs. Consensus</v>
          </cell>
          <cell r="BC11" t="str">
            <v>.</v>
          </cell>
        </row>
        <row r="12">
          <cell r="C12" t="str">
            <v>4Q09e</v>
          </cell>
          <cell r="D12">
            <v>2.8846153846153966E-2</v>
          </cell>
        </row>
        <row r="13">
          <cell r="C13" t="str">
            <v>2010e</v>
          </cell>
          <cell r="D13">
            <v>5.7902042310969293E-2</v>
          </cell>
        </row>
        <row r="14">
          <cell r="C14" t="str">
            <v>2011e</v>
          </cell>
          <cell r="D14">
            <v>0.1155739511645566</v>
          </cell>
          <cell r="BC14" t="str">
            <v>.</v>
          </cell>
        </row>
        <row r="15">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4"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Our Estimates vs. Consensus</v>
          </cell>
          <cell r="AD8">
            <v>0</v>
          </cell>
        </row>
        <row r="10">
          <cell r="C10" t="str">
            <v>Input your data here:</v>
          </cell>
          <cell r="BC10" t="str">
            <v>.</v>
          </cell>
        </row>
        <row r="11">
          <cell r="D11" t="str">
            <v>Our Estimates vs. Consensus</v>
          </cell>
          <cell r="BC11" t="str">
            <v>.</v>
          </cell>
        </row>
        <row r="12">
          <cell r="C12" t="str">
            <v>Market Implied 5-Yr Operating Profit Growth</v>
          </cell>
          <cell r="D12">
            <v>0.06</v>
          </cell>
        </row>
        <row r="13">
          <cell r="C13" t="str">
            <v>MS 5-Yr Operating Profit Growth</v>
          </cell>
          <cell r="D13">
            <v>0.1</v>
          </cell>
        </row>
        <row r="14">
          <cell r="C14" t="str">
            <v>3Q07-3Q09 Actual 2-Yr Avg Operating Profit Growth</v>
          </cell>
          <cell r="D14">
            <v>0.31</v>
          </cell>
          <cell r="BC14" t="str">
            <v>.</v>
          </cell>
        </row>
        <row r="15">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5"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Our Estimates vs. Consensus</v>
          </cell>
          <cell r="AD8">
            <v>0</v>
          </cell>
        </row>
        <row r="10">
          <cell r="C10" t="str">
            <v>Input your data here:</v>
          </cell>
          <cell r="BC10" t="str">
            <v>.</v>
          </cell>
        </row>
        <row r="11">
          <cell r="D11" t="str">
            <v>Our Estimates vs. Consensus</v>
          </cell>
          <cell r="BC11" t="str">
            <v>.</v>
          </cell>
        </row>
        <row r="12">
          <cell r="C12" t="str">
            <v>Market Implied 5-Yr Organic Sales Growth</v>
          </cell>
          <cell r="D12">
            <v>0.04</v>
          </cell>
        </row>
        <row r="13">
          <cell r="C13" t="str">
            <v>MS 5-Yr Organic Sales Growth</v>
          </cell>
          <cell r="D13">
            <v>0.06</v>
          </cell>
        </row>
        <row r="14">
          <cell r="C14" t="str">
            <v>3Q07-3Q09 Actual 2-Yr Avg Organic Sales Growth</v>
          </cell>
          <cell r="D14">
            <v>0.08</v>
          </cell>
          <cell r="BC14" t="str">
            <v>.</v>
          </cell>
        </row>
        <row r="15">
          <cell r="BC15" t="str">
            <v>.</v>
          </cell>
        </row>
        <row r="16">
          <cell r="BC16" t="str">
            <v>.</v>
          </cell>
        </row>
        <row r="17">
          <cell r="BC17" t="str">
            <v>.</v>
          </cell>
        </row>
        <row r="18">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 sheetId="46" refreshError="1">
        <row r="1">
          <cell r="Q1" t="str">
            <v>SmartCharts</v>
          </cell>
          <cell r="BD1" t="str">
            <v>.</v>
          </cell>
        </row>
        <row r="2">
          <cell r="BD2" t="str">
            <v>.</v>
          </cell>
        </row>
        <row r="3">
          <cell r="BD3" t="str">
            <v>.</v>
          </cell>
        </row>
        <row r="6">
          <cell r="Q6" t="str">
            <v>MORE</v>
          </cell>
        </row>
        <row r="7">
          <cell r="J7" t="str">
            <v xml:space="preserve">Adjust spacing between legend entries using these buttons: </v>
          </cell>
        </row>
        <row r="8">
          <cell r="Q8" t="str">
            <v>LESS</v>
          </cell>
          <cell r="AC8" t="str">
            <v>Bear</v>
          </cell>
          <cell r="AE8">
            <v>0</v>
          </cell>
        </row>
        <row r="10">
          <cell r="C10" t="str">
            <v>Input your data here:</v>
          </cell>
          <cell r="BD10" t="str">
            <v>.</v>
          </cell>
        </row>
        <row r="11">
          <cell r="D11" t="str">
            <v>Bear</v>
          </cell>
          <cell r="E11" t="str">
            <v>Base</v>
          </cell>
          <cell r="F11" t="str">
            <v>Bull</v>
          </cell>
          <cell r="BD11" t="str">
            <v>.</v>
          </cell>
        </row>
        <row r="12">
          <cell r="C12" t="str">
            <v>2010e</v>
          </cell>
          <cell r="D12">
            <v>-3.0898876404494402E-2</v>
          </cell>
          <cell r="E12">
            <v>5.7902042310969293E-2</v>
          </cell>
          <cell r="F12">
            <v>0.101123595505618</v>
          </cell>
        </row>
        <row r="13">
          <cell r="C13" t="str">
            <v>2012e</v>
          </cell>
          <cell r="D13">
            <v>-2.6974951830443294E-2</v>
          </cell>
          <cell r="E13">
            <v>-3.7774278351248691E-2</v>
          </cell>
          <cell r="F13">
            <v>6.9364161849710948E-2</v>
          </cell>
        </row>
        <row r="14">
          <cell r="BD14" t="str">
            <v>.</v>
          </cell>
        </row>
        <row r="15">
          <cell r="BD15" t="str">
            <v>.</v>
          </cell>
        </row>
        <row r="16">
          <cell r="BD16" t="str">
            <v>.</v>
          </cell>
        </row>
        <row r="17">
          <cell r="BD17" t="str">
            <v>.</v>
          </cell>
        </row>
        <row r="18">
          <cell r="BD18" t="str">
            <v>.</v>
          </cell>
        </row>
        <row r="19">
          <cell r="BD19"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BD37" t="str">
            <v>.</v>
          </cell>
        </row>
        <row r="38">
          <cell r="BD38" t="str">
            <v>.</v>
          </cell>
        </row>
        <row r="39">
          <cell r="BD39" t="str">
            <v>.</v>
          </cell>
        </row>
        <row r="40">
          <cell r="BD40" t="str">
            <v>.</v>
          </cell>
        </row>
        <row r="41">
          <cell r="BD41" t="str">
            <v>.</v>
          </cell>
        </row>
        <row r="42">
          <cell r="H42" t="str">
            <v>Do not change the width of the exhibit or font sizes (they are optimized for export to Word).</v>
          </cell>
          <cell r="BD42" t="str">
            <v>.</v>
          </cell>
        </row>
        <row r="43">
          <cell r="BD43" t="str">
            <v>.</v>
          </cell>
        </row>
        <row r="44">
          <cell r="H44" t="str">
            <v>Do not delete any rows or columns (some gray cells are used for calculations).</v>
          </cell>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BD997" t="str">
            <v>.</v>
          </cell>
        </row>
        <row r="998">
          <cell r="A998" t="str">
            <v>.</v>
          </cell>
          <cell r="B998" t="str">
            <v>.</v>
          </cell>
          <cell r="C998" t="str">
            <v>.</v>
          </cell>
          <cell r="D998" t="str">
            <v>.</v>
          </cell>
          <cell r="E998" t="str">
            <v>.</v>
          </cell>
          <cell r="F998" t="str">
            <v>.</v>
          </cell>
          <cell r="G998" t="str">
            <v>.</v>
          </cell>
          <cell r="R998" t="str">
            <v>.</v>
          </cell>
          <cell r="S998" t="str">
            <v>.</v>
          </cell>
          <cell r="T998" t="str">
            <v>.</v>
          </cell>
          <cell r="U998" t="str">
            <v>.</v>
          </cell>
          <cell r="V998" t="str">
            <v>.</v>
          </cell>
          <cell r="W998" t="str">
            <v>.</v>
          </cell>
          <cell r="AA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cell r="BD998" t="str">
            <v>.</v>
          </cell>
        </row>
      </sheetData>
      <sheetData sheetId="47"/>
      <sheetData sheetId="48"/>
      <sheetData sheetId="49" refreshError="1"/>
      <sheetData sheetId="50" refreshError="1"/>
      <sheetData sheetId="5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s Data"/>
      <sheetName val="Leverage_Retrieve"/>
      <sheetName val="Leverage_Bevs Chart"/>
      <sheetName val="__FDSCACHE__"/>
      <sheetName val="Leverage_HPC Chart"/>
      <sheetName val="Beer_Import_Share_US_Consumptio"/>
      <sheetName val="Levarage_Summaries"/>
      <sheetName val="Leverage_Non-Alcohol"/>
      <sheetName val="Leverage_Alcohol"/>
      <sheetName val="Sheet1"/>
      <sheetName val="Staples_Comp_Sheet"/>
      <sheetName val="EM vs S&amp;P"/>
      <sheetName val="EM Index"/>
      <sheetName val="CSD_BEER_Demand_Elasticity"/>
      <sheetName val="Vanilla Coke"/>
      <sheetName val="LRB Consumption - 2007"/>
      <sheetName val="LRB Consumption - 2000"/>
      <sheetName val="LRB Mix"/>
      <sheetName val="EM as % of Mix"/>
      <sheetName val="Resin"/>
      <sheetName val="TotalOrgRegres-1Qtr "/>
      <sheetName val="TUP Org Sales Growth"/>
      <sheetName val="AVP Org Growth"/>
      <sheetName val="SLDSRegionSales_Bar"/>
      <sheetName val="LTM vs NTM Comps"/>
      <sheetName val="2 Year Organic Sales %"/>
      <sheetName val="TUPNA_New_Trends"/>
      <sheetName val="EM-DM Growth"/>
      <sheetName val="SLDS Region Sales Mix"/>
      <sheetName val="SLDS Cat Mix_Bar"/>
      <sheetName val="2 Year StackedOrg Sales"/>
      <sheetName val="2000-2005EPS_OMChange"/>
      <sheetName val="EMToplineBuild"/>
      <sheetName val="HPC_Net_Debt_EBITDA"/>
      <sheetName val="TotalOrgRegres-2Qtr "/>
      <sheetName val="EPS vs. Street_and_Company"/>
      <sheetName val="European_Sales_Op_Margins"/>
      <sheetName val="SMID HPC 5 Year Org Growth"/>
      <sheetName val="ActivevOrgRegres-2Qtr"/>
      <sheetName val="SD&amp;A"/>
      <sheetName val="Est Above Consensus"/>
      <sheetName val="Est Above Consensus (2)"/>
      <sheetName val="MarketvsMSOpIncome"/>
      <sheetName val="TUP_Rev_Mix"/>
      <sheetName val="OPMSvsConsensus"/>
      <sheetName val="TUP_EBIT_Mix"/>
      <sheetName val="ActivevOrgRegres-1Qtr"/>
      <sheetName val="Traling 2 Year Org vs MS F-Cast"/>
      <sheetName val="Org Sales Growth"/>
      <sheetName val="TUPNA_Old_Trends"/>
      <sheetName val="SLDS Category Mix"/>
      <sheetName val="NAmer_Germ_Drag"/>
      <sheetName val="RevMSvsConsensus"/>
      <sheetName val="GermOrgSales_Euro Margins"/>
      <sheetName val="EM Growth"/>
      <sheetName val="Active-Org Sales Gap"/>
      <sheetName val="L1071"/>
      <sheetName val="SDA"/>
    </sheetNames>
    <sheetDataSet>
      <sheetData sheetId="0"/>
      <sheetData sheetId="1"/>
      <sheetData sheetId="2"/>
      <sheetData sheetId="3"/>
      <sheetData sheetId="4" refreshError="1">
        <row r="1">
          <cell r="N1" t="str">
            <v>SmartCharts</v>
          </cell>
          <cell r="AW1" t="str">
            <v>.</v>
          </cell>
        </row>
        <row r="2">
          <cell r="AW2" t="str">
            <v>.</v>
          </cell>
        </row>
        <row r="3">
          <cell r="AW3" t="str">
            <v>.</v>
          </cell>
        </row>
        <row r="4">
          <cell r="AW4" t="str">
            <v>.</v>
          </cell>
        </row>
        <row r="5">
          <cell r="C5" t="str">
            <v>Define value axis here:</v>
          </cell>
        </row>
        <row r="6">
          <cell r="C6" t="str">
            <v>Net Debt/CY09E EBITDA</v>
          </cell>
        </row>
        <row r="10">
          <cell r="C10" t="str">
            <v>Input your data here:</v>
          </cell>
          <cell r="AW10" t="str">
            <v>.</v>
          </cell>
        </row>
        <row r="11">
          <cell r="C11" t="str">
            <v>ACV</v>
          </cell>
          <cell r="D11">
            <v>-1.4964813541845681</v>
          </cell>
        </row>
        <row r="12">
          <cell r="C12" t="str">
            <v>NUS</v>
          </cell>
          <cell r="D12">
            <v>0.36833009162702407</v>
          </cell>
          <cell r="AW12" t="str">
            <v>.</v>
          </cell>
        </row>
        <row r="13">
          <cell r="C13" t="str">
            <v>HLF</v>
          </cell>
          <cell r="D13">
            <v>0.45319192368015426</v>
          </cell>
          <cell r="AW13" t="str">
            <v>.</v>
          </cell>
        </row>
        <row r="14">
          <cell r="C14" t="str">
            <v>CL</v>
          </cell>
          <cell r="D14">
            <v>0.77873229087712015</v>
          </cell>
          <cell r="AW14" t="str">
            <v>.</v>
          </cell>
        </row>
        <row r="15">
          <cell r="C15" t="str">
            <v>EL</v>
          </cell>
          <cell r="D15">
            <v>1.107672538941421</v>
          </cell>
          <cell r="AW15" t="str">
            <v>.</v>
          </cell>
        </row>
        <row r="16">
          <cell r="C16" t="str">
            <v>AVP</v>
          </cell>
          <cell r="D16">
            <v>1.1853954801601454</v>
          </cell>
          <cell r="AW16" t="str">
            <v>.</v>
          </cell>
        </row>
        <row r="17">
          <cell r="C17" t="str">
            <v>CHD</v>
          </cell>
          <cell r="D17">
            <v>1.2124862452954961</v>
          </cell>
          <cell r="AW17" t="str">
            <v>.</v>
          </cell>
        </row>
        <row r="18">
          <cell r="C18" t="str">
            <v>KMB</v>
          </cell>
          <cell r="D18">
            <v>1.619489662551826</v>
          </cell>
          <cell r="AW18" t="str">
            <v>.</v>
          </cell>
        </row>
        <row r="19">
          <cell r="C19" t="str">
            <v>PG</v>
          </cell>
          <cell r="D19">
            <v>1.726468432099137</v>
          </cell>
          <cell r="AW19" t="str">
            <v>.</v>
          </cell>
        </row>
        <row r="20">
          <cell r="C20" t="str">
            <v>TUP</v>
          </cell>
          <cell r="D20">
            <v>1.7532188841201717</v>
          </cell>
          <cell r="AW20" t="str">
            <v>.</v>
          </cell>
        </row>
        <row r="21">
          <cell r="C21" t="str">
            <v>CHTT</v>
          </cell>
          <cell r="D21">
            <v>2.2775608858117593</v>
          </cell>
          <cell r="AW21" t="str">
            <v>.</v>
          </cell>
        </row>
        <row r="22">
          <cell r="C22" t="str">
            <v>CLX</v>
          </cell>
          <cell r="D22">
            <v>2.5305941100905027</v>
          </cell>
          <cell r="AW22" t="str">
            <v>.</v>
          </cell>
        </row>
        <row r="23">
          <cell r="C23" t="str">
            <v>ENR</v>
          </cell>
          <cell r="D23">
            <v>3.0379050316299541</v>
          </cell>
          <cell r="AW23" t="str">
            <v>.</v>
          </cell>
        </row>
        <row r="24">
          <cell r="C24" t="str">
            <v>NWL</v>
          </cell>
          <cell r="D24">
            <v>3.4302149077254933</v>
          </cell>
          <cell r="AW24" t="str">
            <v>.</v>
          </cell>
        </row>
        <row r="25">
          <cell r="C25" t="str">
            <v>WTW</v>
          </cell>
          <cell r="D25">
            <v>3.594574116291871</v>
          </cell>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 refreshError="1">
        <row r="1">
          <cell r="N1" t="str">
            <v>SmartCharts</v>
          </cell>
          <cell r="AW1" t="str">
            <v>.</v>
          </cell>
        </row>
        <row r="2">
          <cell r="AW2" t="str">
            <v>.</v>
          </cell>
        </row>
        <row r="3">
          <cell r="AW3" t="str">
            <v>.</v>
          </cell>
        </row>
        <row r="4">
          <cell r="AW4" t="str">
            <v>.</v>
          </cell>
        </row>
        <row r="5">
          <cell r="C5" t="str">
            <v>Define value axis here:</v>
          </cell>
        </row>
        <row r="6">
          <cell r="C6" t="str">
            <v>Gap Between Imported and Domestic Year-over-Year Beer Volume Growth (Basis Points)</v>
          </cell>
        </row>
        <row r="10">
          <cell r="C10" t="str">
            <v>Input your data here:</v>
          </cell>
          <cell r="AW10" t="str">
            <v>.</v>
          </cell>
        </row>
        <row r="11">
          <cell r="C11">
            <v>1998</v>
          </cell>
          <cell r="D11">
            <v>1493.7703458272067</v>
          </cell>
        </row>
        <row r="12">
          <cell r="C12">
            <v>1999</v>
          </cell>
          <cell r="D12">
            <v>756.43089452779088</v>
          </cell>
          <cell r="AW12" t="str">
            <v>.</v>
          </cell>
        </row>
        <row r="13">
          <cell r="C13">
            <v>2000</v>
          </cell>
          <cell r="D13">
            <v>1267.9764505434143</v>
          </cell>
          <cell r="AW13" t="str">
            <v>.</v>
          </cell>
        </row>
        <row r="14">
          <cell r="C14">
            <v>2001</v>
          </cell>
          <cell r="D14">
            <v>887.58691188790544</v>
          </cell>
          <cell r="AW14" t="str">
            <v>.</v>
          </cell>
        </row>
        <row r="15">
          <cell r="C15">
            <v>2002</v>
          </cell>
          <cell r="D15">
            <v>537.57577582904889</v>
          </cell>
          <cell r="AW15" t="str">
            <v>.</v>
          </cell>
        </row>
        <row r="16">
          <cell r="C16">
            <v>2003</v>
          </cell>
          <cell r="D16">
            <v>253.45951001185529</v>
          </cell>
          <cell r="AW16" t="str">
            <v>.</v>
          </cell>
        </row>
        <row r="17">
          <cell r="C17">
            <v>2004</v>
          </cell>
          <cell r="D17">
            <v>41.273196134827828</v>
          </cell>
          <cell r="AW17" t="str">
            <v>.</v>
          </cell>
        </row>
        <row r="18">
          <cell r="C18">
            <v>2005</v>
          </cell>
          <cell r="D18">
            <v>802.70632472915099</v>
          </cell>
          <cell r="AW18" t="str">
            <v>.</v>
          </cell>
        </row>
        <row r="19">
          <cell r="C19">
            <v>2006</v>
          </cell>
          <cell r="D19">
            <v>1426.8716534553128</v>
          </cell>
          <cell r="AW19" t="str">
            <v>.</v>
          </cell>
        </row>
        <row r="20">
          <cell r="C20">
            <v>2007</v>
          </cell>
          <cell r="D20">
            <v>29.785124806840368</v>
          </cell>
          <cell r="AW20" t="str">
            <v>.</v>
          </cell>
        </row>
        <row r="21">
          <cell r="C21">
            <v>2008</v>
          </cell>
          <cell r="D21">
            <v>-450.17276702847278</v>
          </cell>
          <cell r="AW21" t="str">
            <v>.</v>
          </cell>
        </row>
        <row r="22">
          <cell r="C22" t="str">
            <v>2009*</v>
          </cell>
          <cell r="D22">
            <v>-900</v>
          </cell>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C33">
            <v>28889</v>
          </cell>
          <cell r="D33">
            <v>53.739400655558576</v>
          </cell>
          <cell r="AW33" t="str">
            <v>.</v>
          </cell>
        </row>
        <row r="34">
          <cell r="C34">
            <v>-28835.260599344441</v>
          </cell>
          <cell r="AW34" t="str">
            <v>.</v>
          </cell>
        </row>
        <row r="35">
          <cell r="C35" t="str">
            <v>2009*</v>
          </cell>
          <cell r="AW35" t="str">
            <v>.</v>
          </cell>
        </row>
        <row r="36">
          <cell r="C36">
            <v>26288.99</v>
          </cell>
          <cell r="D36">
            <v>-2546.2705993444397</v>
          </cell>
          <cell r="AW36" t="str">
            <v>.</v>
          </cell>
        </row>
        <row r="37">
          <cell r="C37">
            <v>-28835.260599344441</v>
          </cell>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6"/>
      <sheetData sheetId="7" refreshError="1">
        <row r="1">
          <cell r="N1" t="str">
            <v>SmartCharts</v>
          </cell>
          <cell r="AW1" t="str">
            <v>.</v>
          </cell>
        </row>
        <row r="2">
          <cell r="AW2" t="str">
            <v>.</v>
          </cell>
        </row>
        <row r="3">
          <cell r="AW3" t="str">
            <v>.</v>
          </cell>
        </row>
        <row r="4">
          <cell r="AW4" t="str">
            <v>.</v>
          </cell>
        </row>
        <row r="5">
          <cell r="C5" t="str">
            <v>Define value axis here:</v>
          </cell>
        </row>
        <row r="6">
          <cell r="C6" t="str">
            <v>Non-Alcoholic Beverages - Net Debt/CY09E EBITDA</v>
          </cell>
        </row>
        <row r="10">
          <cell r="C10" t="str">
            <v>Input your data here:</v>
          </cell>
          <cell r="AW10" t="str">
            <v>.</v>
          </cell>
        </row>
        <row r="11">
          <cell r="C11" t="str">
            <v>HANS</v>
          </cell>
          <cell r="D11">
            <v>-0.8527697408077155</v>
          </cell>
        </row>
        <row r="12">
          <cell r="C12" t="str">
            <v>KO</v>
          </cell>
          <cell r="D12">
            <v>0.50324529073417867</v>
          </cell>
          <cell r="AW12" t="str">
            <v>.</v>
          </cell>
        </row>
        <row r="13">
          <cell r="C13" t="str">
            <v>PEP</v>
          </cell>
          <cell r="D13">
            <v>0.73733760862609288</v>
          </cell>
          <cell r="AW13" t="str">
            <v>.</v>
          </cell>
        </row>
        <row r="14">
          <cell r="C14" t="str">
            <v>CCH</v>
          </cell>
          <cell r="D14">
            <v>2.1487610020711521</v>
          </cell>
          <cell r="AW14" t="str">
            <v>.</v>
          </cell>
        </row>
        <row r="15">
          <cell r="C15" t="str">
            <v>COT</v>
          </cell>
          <cell r="D15">
            <v>2.7127096979550118</v>
          </cell>
          <cell r="AW15" t="str">
            <v>.</v>
          </cell>
        </row>
        <row r="16">
          <cell r="C16" t="str">
            <v>PBG</v>
          </cell>
          <cell r="D16">
            <v>3.0032558661726729</v>
          </cell>
          <cell r="AW16" t="str">
            <v>.</v>
          </cell>
        </row>
        <row r="17">
          <cell r="C17" t="str">
            <v>PAS</v>
          </cell>
          <cell r="D17">
            <v>3.3323527879248456</v>
          </cell>
          <cell r="AW17" t="str">
            <v>.</v>
          </cell>
        </row>
        <row r="18">
          <cell r="C18" t="str">
            <v>CCE</v>
          </cell>
          <cell r="D18">
            <v>3.3958983235372933</v>
          </cell>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8" refreshError="1">
        <row r="1">
          <cell r="N1" t="str">
            <v>SmartCharts</v>
          </cell>
          <cell r="AW1" t="str">
            <v>.</v>
          </cell>
        </row>
        <row r="2">
          <cell r="AW2" t="str">
            <v>.</v>
          </cell>
        </row>
        <row r="3">
          <cell r="AW3" t="str">
            <v>.</v>
          </cell>
        </row>
        <row r="4">
          <cell r="AW4" t="str">
            <v>.</v>
          </cell>
        </row>
        <row r="5">
          <cell r="C5" t="str">
            <v>Define value axis here:</v>
          </cell>
        </row>
        <row r="6">
          <cell r="C6" t="str">
            <v>Alcoholic Beverages - Net Debt/CY09E EBITDA</v>
          </cell>
        </row>
        <row r="10">
          <cell r="C10" t="str">
            <v>Input your data here:</v>
          </cell>
          <cell r="AW10" t="str">
            <v>.</v>
          </cell>
        </row>
        <row r="11">
          <cell r="C11" t="str">
            <v>ABV</v>
          </cell>
          <cell r="D11">
            <v>0.40194855855660999</v>
          </cell>
        </row>
        <row r="12">
          <cell r="C12" t="str">
            <v>BFB</v>
          </cell>
          <cell r="D12">
            <v>0.93138544220527186</v>
          </cell>
          <cell r="AW12" t="str">
            <v>.</v>
          </cell>
        </row>
        <row r="13">
          <cell r="C13" t="str">
            <v>TAP</v>
          </cell>
          <cell r="D13">
            <v>1.5514463061544075</v>
          </cell>
          <cell r="AW13" t="str">
            <v>.</v>
          </cell>
        </row>
        <row r="14">
          <cell r="C14" t="str">
            <v>SAB</v>
          </cell>
          <cell r="D14">
            <v>2.25173486480019</v>
          </cell>
          <cell r="AW14" t="str">
            <v>.</v>
          </cell>
        </row>
        <row r="15">
          <cell r="C15" t="str">
            <v>DGE</v>
          </cell>
          <cell r="D15">
            <v>2.65042305668329</v>
          </cell>
          <cell r="AW15" t="str">
            <v>.</v>
          </cell>
        </row>
        <row r="16">
          <cell r="C16" t="str">
            <v>ABI</v>
          </cell>
          <cell r="D16">
            <v>4.4326590057464399</v>
          </cell>
          <cell r="AW16" t="str">
            <v>.</v>
          </cell>
        </row>
        <row r="17">
          <cell r="C17" t="str">
            <v>FO</v>
          </cell>
          <cell r="D17">
            <v>4.9341331881584978</v>
          </cell>
          <cell r="AW17" t="str">
            <v>.</v>
          </cell>
        </row>
        <row r="18">
          <cell r="C18" t="str">
            <v>STZ</v>
          </cell>
          <cell r="D18">
            <v>4.9691770223885356</v>
          </cell>
          <cell r="AW18" t="str">
            <v>.</v>
          </cell>
        </row>
        <row r="19">
          <cell r="C19" t="str">
            <v>PERP</v>
          </cell>
          <cell r="D19">
            <v>5.4030026989558797</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D30">
            <v>3.0584344604054583</v>
          </cell>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C995" t="str">
            <v>.</v>
          </cell>
          <cell r="D995" t="str">
            <v>.</v>
          </cell>
          <cell r="AW995" t="str">
            <v>.</v>
          </cell>
        </row>
        <row r="996">
          <cell r="A996" t="str">
            <v>.</v>
          </cell>
          <cell r="B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9"/>
      <sheetData sheetId="10"/>
      <sheetData sheetId="11"/>
      <sheetData sheetId="12"/>
      <sheetData sheetId="13" refreshError="1">
        <row r="1">
          <cell r="B1" t="str">
            <v>13-Week</v>
          </cell>
          <cell r="C1" t="str">
            <v>Volume</v>
          </cell>
          <cell r="F1" t="str">
            <v>YoY Change</v>
          </cell>
          <cell r="I1" t="str">
            <v>Avg. Price per volume</v>
          </cell>
          <cell r="L1" t="str">
            <v>YoY Change</v>
          </cell>
        </row>
        <row r="2">
          <cell r="C2" t="str">
            <v>CSDs</v>
          </cell>
          <cell r="D2" t="str">
            <v>BEER</v>
          </cell>
          <cell r="F2" t="str">
            <v>CSDs</v>
          </cell>
          <cell r="G2" t="str">
            <v>BEER</v>
          </cell>
          <cell r="I2" t="str">
            <v>CSDs</v>
          </cell>
          <cell r="J2" t="str">
            <v>BEER</v>
          </cell>
          <cell r="L2" t="str">
            <v>CSDs</v>
          </cell>
          <cell r="M2" t="str">
            <v>BEER</v>
          </cell>
        </row>
        <row r="3">
          <cell r="B3">
            <v>38081</v>
          </cell>
          <cell r="C3">
            <v>859521700</v>
          </cell>
          <cell r="D3">
            <v>104865200</v>
          </cell>
          <cell r="I3">
            <v>3.8594499999999998</v>
          </cell>
          <cell r="J3">
            <v>16.620830000000002</v>
          </cell>
        </row>
        <row r="4">
          <cell r="B4">
            <v>38172</v>
          </cell>
          <cell r="C4">
            <v>977480800</v>
          </cell>
          <cell r="D4">
            <v>134490700</v>
          </cell>
          <cell r="I4">
            <v>3.7865700000000002</v>
          </cell>
          <cell r="J4">
            <v>16.75046</v>
          </cell>
        </row>
        <row r="5">
          <cell r="B5">
            <v>38263</v>
          </cell>
          <cell r="C5">
            <v>903919300</v>
          </cell>
          <cell r="D5">
            <v>130221500</v>
          </cell>
          <cell r="I5">
            <v>3.86171</v>
          </cell>
          <cell r="J5">
            <v>16.799019999999999</v>
          </cell>
        </row>
        <row r="6">
          <cell r="B6">
            <v>38354</v>
          </cell>
          <cell r="C6">
            <v>900644200</v>
          </cell>
          <cell r="D6">
            <v>113960100</v>
          </cell>
          <cell r="I6">
            <v>3.7845300000000002</v>
          </cell>
          <cell r="J6">
            <v>16.922039999999999</v>
          </cell>
        </row>
        <row r="7">
          <cell r="B7">
            <v>38445</v>
          </cell>
          <cell r="C7">
            <v>836426400</v>
          </cell>
          <cell r="D7">
            <v>103197300</v>
          </cell>
          <cell r="F7">
            <v>-2.6869944063075968E-2</v>
          </cell>
          <cell r="G7">
            <v>-1.5905181127771617E-2</v>
          </cell>
          <cell r="I7">
            <v>3.9394100000000001</v>
          </cell>
          <cell r="J7">
            <v>16.95712</v>
          </cell>
          <cell r="L7">
            <v>2.071797795022623E-2</v>
          </cell>
          <cell r="M7">
            <v>2.0233044920139331E-2</v>
          </cell>
        </row>
        <row r="8">
          <cell r="B8">
            <v>38536</v>
          </cell>
          <cell r="C8">
            <v>933665500</v>
          </cell>
          <cell r="D8">
            <v>132344600</v>
          </cell>
          <cell r="F8">
            <v>-4.4824716761700079E-2</v>
          </cell>
          <cell r="G8">
            <v>-1.5957237191865259E-2</v>
          </cell>
          <cell r="I8">
            <v>3.9074900000000001</v>
          </cell>
          <cell r="J8">
            <v>16.844989999999999</v>
          </cell>
          <cell r="L8">
            <v>3.1933913805898273E-2</v>
          </cell>
          <cell r="M8">
            <v>5.6434271058825036E-3</v>
          </cell>
        </row>
        <row r="9">
          <cell r="B9">
            <v>38627</v>
          </cell>
          <cell r="C9">
            <v>875383900</v>
          </cell>
          <cell r="D9">
            <v>134371000</v>
          </cell>
          <cell r="F9">
            <v>-3.1568526084131632E-2</v>
          </cell>
          <cell r="G9">
            <v>3.1864937817488004E-2</v>
          </cell>
          <cell r="I9">
            <v>3.9944799999999998</v>
          </cell>
          <cell r="J9">
            <v>16.71613</v>
          </cell>
          <cell r="L9">
            <v>3.4381142032933631E-2</v>
          </cell>
          <cell r="M9">
            <v>-4.9342164007185607E-3</v>
          </cell>
        </row>
        <row r="10">
          <cell r="B10">
            <v>38718</v>
          </cell>
          <cell r="C10">
            <v>859481600</v>
          </cell>
          <cell r="D10">
            <v>115109400</v>
          </cell>
          <cell r="F10">
            <v>-4.5703508666352421E-2</v>
          </cell>
          <cell r="G10">
            <v>1.0085108735425896E-2</v>
          </cell>
          <cell r="I10">
            <v>3.9833400000000001</v>
          </cell>
          <cell r="J10">
            <v>16.955770000000001</v>
          </cell>
          <cell r="L10">
            <v>5.2532282740525238E-2</v>
          </cell>
          <cell r="M10">
            <v>1.9932584960207222E-3</v>
          </cell>
        </row>
        <row r="11">
          <cell r="B11">
            <v>38809</v>
          </cell>
          <cell r="C11">
            <v>786612400</v>
          </cell>
          <cell r="D11">
            <v>101395500</v>
          </cell>
          <cell r="F11">
            <v>-5.9555748120814989E-2</v>
          </cell>
          <cell r="G11">
            <v>-1.7459759121604912E-2</v>
          </cell>
          <cell r="I11">
            <v>4.1300100000000004</v>
          </cell>
          <cell r="J11">
            <v>17.314109999999999</v>
          </cell>
          <cell r="L11">
            <v>4.8382879669798262E-2</v>
          </cell>
          <cell r="M11">
            <v>2.1052513634390646E-2</v>
          </cell>
        </row>
        <row r="12">
          <cell r="B12">
            <v>38900</v>
          </cell>
          <cell r="C12">
            <v>916662900</v>
          </cell>
          <cell r="D12">
            <v>131009500</v>
          </cell>
          <cell r="F12">
            <v>-1.8210590409520333E-2</v>
          </cell>
          <cell r="G12">
            <v>-1.0088057994054878E-2</v>
          </cell>
          <cell r="I12">
            <v>3.9998499999999999</v>
          </cell>
          <cell r="J12">
            <v>17.458130000000001</v>
          </cell>
          <cell r="L12">
            <v>2.363665677967175E-2</v>
          </cell>
          <cell r="M12">
            <v>3.6398953041824278E-2</v>
          </cell>
        </row>
        <row r="13">
          <cell r="B13">
            <v>38991</v>
          </cell>
          <cell r="C13">
            <v>823532000</v>
          </cell>
          <cell r="D13">
            <v>130055100</v>
          </cell>
          <cell r="F13">
            <v>-5.9233326086988836E-2</v>
          </cell>
          <cell r="G13">
            <v>-3.2119281690245693E-2</v>
          </cell>
          <cell r="I13">
            <v>4.1178900000000001</v>
          </cell>
          <cell r="J13">
            <v>17.42989</v>
          </cell>
          <cell r="L13">
            <v>3.0895135286695741E-2</v>
          </cell>
          <cell r="M13">
            <v>4.2698878269073148E-2</v>
          </cell>
        </row>
        <row r="14">
          <cell r="B14">
            <v>39082</v>
          </cell>
          <cell r="C14">
            <v>816853300</v>
          </cell>
          <cell r="D14">
            <v>113774000</v>
          </cell>
          <cell r="F14">
            <v>-4.9597687722459649E-2</v>
          </cell>
          <cell r="G14">
            <v>-1.1601137700309461E-2</v>
          </cell>
          <cell r="I14">
            <v>4.0984299999999996</v>
          </cell>
          <cell r="J14">
            <v>17.395959999999999</v>
          </cell>
          <cell r="L14">
            <v>2.8892838673073129E-2</v>
          </cell>
          <cell r="M14">
            <v>2.5961074017871066E-2</v>
          </cell>
        </row>
        <row r="15">
          <cell r="B15">
            <v>39173</v>
          </cell>
          <cell r="C15">
            <v>734101500</v>
          </cell>
          <cell r="D15">
            <v>103172800</v>
          </cell>
          <cell r="F15">
            <v>-6.6755749083029947E-2</v>
          </cell>
          <cell r="G15">
            <v>1.7528391299416635E-2</v>
          </cell>
          <cell r="I15">
            <v>4.34605</v>
          </cell>
          <cell r="J15">
            <v>17.835319999999999</v>
          </cell>
          <cell r="L15">
            <v>5.2309800702661668E-2</v>
          </cell>
          <cell r="M15">
            <v>3.0103193291483032E-2</v>
          </cell>
        </row>
        <row r="16">
          <cell r="B16">
            <v>39264</v>
          </cell>
          <cell r="C16">
            <v>841189800</v>
          </cell>
          <cell r="D16">
            <v>128001600</v>
          </cell>
          <cell r="F16">
            <v>-8.2334629229567358E-2</v>
          </cell>
          <cell r="G16">
            <v>-2.2959403707364712E-2</v>
          </cell>
          <cell r="I16">
            <v>4.2609399999999997</v>
          </cell>
          <cell r="J16">
            <v>18.084</v>
          </cell>
          <cell r="L16">
            <v>6.5274947810542772E-2</v>
          </cell>
          <cell r="M16">
            <v>3.5849773142942576E-2</v>
          </cell>
        </row>
        <row r="17">
          <cell r="B17">
            <v>39355</v>
          </cell>
          <cell r="C17">
            <v>771172500</v>
          </cell>
          <cell r="D17">
            <v>131380400</v>
          </cell>
          <cell r="F17">
            <v>-6.3579193036821913E-2</v>
          </cell>
          <cell r="G17">
            <v>1.0190296266736176E-2</v>
          </cell>
          <cell r="I17">
            <v>4.3707799999999999</v>
          </cell>
          <cell r="J17">
            <v>18.113289999999999</v>
          </cell>
          <cell r="L17">
            <v>6.1412519518491138E-2</v>
          </cell>
          <cell r="M17">
            <v>3.9208509061158692E-2</v>
          </cell>
        </row>
        <row r="18">
          <cell r="B18">
            <v>39446</v>
          </cell>
          <cell r="C18">
            <v>771063900</v>
          </cell>
          <cell r="D18">
            <v>114558400</v>
          </cell>
          <cell r="F18">
            <v>-5.6055842585198579E-2</v>
          </cell>
          <cell r="G18">
            <v>6.8943695396135318E-3</v>
          </cell>
          <cell r="I18">
            <v>4.3288000000000002</v>
          </cell>
          <cell r="J18">
            <v>18.13139</v>
          </cell>
          <cell r="L18">
            <v>5.6209328938154446E-2</v>
          </cell>
          <cell r="M18">
            <v>4.2275907739498297E-2</v>
          </cell>
        </row>
        <row r="19">
          <cell r="B19">
            <v>39537</v>
          </cell>
          <cell r="C19">
            <v>709098300</v>
          </cell>
          <cell r="D19">
            <v>104134800</v>
          </cell>
          <cell r="F19">
            <v>-3.4059595301194734E-2</v>
          </cell>
          <cell r="G19">
            <v>9.3241629576787943E-3</v>
          </cell>
          <cell r="I19">
            <v>4.4857199999999997</v>
          </cell>
          <cell r="J19">
            <v>18.386430000000001</v>
          </cell>
          <cell r="L19">
            <v>3.2137228057661504E-2</v>
          </cell>
          <cell r="M19">
            <v>3.0899922176893968E-2</v>
          </cell>
        </row>
        <row r="20">
          <cell r="B20">
            <v>39628</v>
          </cell>
          <cell r="C20">
            <v>783522000</v>
          </cell>
          <cell r="D20">
            <v>127513700</v>
          </cell>
          <cell r="F20">
            <v>-6.8555039540422413E-2</v>
          </cell>
          <cell r="G20">
            <v>-3.8116711041111806E-3</v>
          </cell>
          <cell r="I20">
            <v>4.4359200000000003</v>
          </cell>
          <cell r="J20">
            <v>18.609660000000002</v>
          </cell>
          <cell r="L20">
            <v>4.1066055846832095E-2</v>
          </cell>
          <cell r="M20">
            <v>2.9067684140676953E-2</v>
          </cell>
        </row>
        <row r="21">
          <cell r="B21">
            <v>39719</v>
          </cell>
          <cell r="C21">
            <v>756548700</v>
          </cell>
          <cell r="D21">
            <v>136342500</v>
          </cell>
          <cell r="F21">
            <v>-1.8963072464331931E-2</v>
          </cell>
          <cell r="G21">
            <v>3.776895183756479E-2</v>
          </cell>
          <cell r="I21">
            <v>4.5280300000000002</v>
          </cell>
          <cell r="J21">
            <v>18.527979999999999</v>
          </cell>
          <cell r="L21">
            <v>3.5977560069369918E-2</v>
          </cell>
          <cell r="M21">
            <v>2.2894239533513883E-2</v>
          </cell>
        </row>
        <row r="22">
          <cell r="B22">
            <v>39810</v>
          </cell>
          <cell r="C22">
            <v>725154600</v>
          </cell>
          <cell r="D22">
            <v>115360700</v>
          </cell>
          <cell r="F22">
            <v>-5.9540201531935288E-2</v>
          </cell>
          <cell r="G22">
            <v>7.0034148521627149E-3</v>
          </cell>
          <cell r="I22">
            <v>4.6776400000000002</v>
          </cell>
          <cell r="J22">
            <v>19.016950000000001</v>
          </cell>
          <cell r="L22">
            <v>8.058584365182031E-2</v>
          </cell>
          <cell r="M22">
            <v>4.8841263686898895E-2</v>
          </cell>
        </row>
        <row r="23">
          <cell r="B23">
            <v>39901</v>
          </cell>
          <cell r="C23">
            <v>685697000</v>
          </cell>
          <cell r="D23">
            <v>108207700</v>
          </cell>
          <cell r="F23">
            <v>-3.300148935627123E-2</v>
          </cell>
          <cell r="G23">
            <v>3.9111805083411166E-2</v>
          </cell>
          <cell r="I23">
            <v>4.8066000000000004</v>
          </cell>
          <cell r="J23">
            <v>19.008579999999998</v>
          </cell>
          <cell r="L23">
            <v>7.1533666836093301E-2</v>
          </cell>
          <cell r="M23">
            <v>3.3837455123153282E-2</v>
          </cell>
        </row>
        <row r="25">
          <cell r="B25" t="str">
            <v>CSDs</v>
          </cell>
          <cell r="I25" t="str">
            <v>Beer</v>
          </cell>
        </row>
        <row r="26">
          <cell r="C26" t="str">
            <v>Volume Change</v>
          </cell>
          <cell r="D26" t="str">
            <v>Price Change</v>
          </cell>
          <cell r="J26" t="str">
            <v>Volume Change</v>
          </cell>
          <cell r="K26" t="str">
            <v>Price Change</v>
          </cell>
        </row>
        <row r="27">
          <cell r="B27">
            <v>38445</v>
          </cell>
          <cell r="C27">
            <v>-2.6869944063075968E-2</v>
          </cell>
          <cell r="D27">
            <v>2.071797795022623E-2</v>
          </cell>
          <cell r="I27">
            <v>38445</v>
          </cell>
          <cell r="J27">
            <v>-1.5905181127771617E-2</v>
          </cell>
          <cell r="K27">
            <v>2.0233044920139331E-2</v>
          </cell>
        </row>
        <row r="28">
          <cell r="B28">
            <v>38536</v>
          </cell>
          <cell r="C28">
            <v>-4.4824716761700079E-2</v>
          </cell>
          <cell r="D28">
            <v>3.1933913805898273E-2</v>
          </cell>
          <cell r="I28">
            <v>38536</v>
          </cell>
          <cell r="J28">
            <v>-1.5957237191865259E-2</v>
          </cell>
          <cell r="K28">
            <v>5.6434271058825036E-3</v>
          </cell>
        </row>
        <row r="29">
          <cell r="B29">
            <v>38627</v>
          </cell>
          <cell r="C29">
            <v>-3.1568526084131632E-2</v>
          </cell>
          <cell r="D29">
            <v>3.4381142032933631E-2</v>
          </cell>
          <cell r="I29">
            <v>38627</v>
          </cell>
          <cell r="J29">
            <v>3.1864937817488004E-2</v>
          </cell>
          <cell r="K29">
            <v>-4.9342164007185607E-3</v>
          </cell>
        </row>
        <row r="30">
          <cell r="B30">
            <v>38718</v>
          </cell>
          <cell r="C30">
            <v>-4.5703508666352421E-2</v>
          </cell>
          <cell r="D30">
            <v>5.2532282740525238E-2</v>
          </cell>
          <cell r="I30">
            <v>38718</v>
          </cell>
          <cell r="J30">
            <v>1.0085108735425896E-2</v>
          </cell>
          <cell r="K30">
            <v>1.9932584960207222E-3</v>
          </cell>
        </row>
        <row r="31">
          <cell r="B31">
            <v>38809</v>
          </cell>
          <cell r="C31">
            <v>-5.9555748120814989E-2</v>
          </cell>
          <cell r="D31">
            <v>4.8382879669798262E-2</v>
          </cell>
          <cell r="I31">
            <v>38809</v>
          </cell>
          <cell r="J31">
            <v>-1.7459759121604912E-2</v>
          </cell>
          <cell r="K31">
            <v>2.1052513634390646E-2</v>
          </cell>
        </row>
        <row r="32">
          <cell r="B32">
            <v>38900</v>
          </cell>
          <cell r="C32">
            <v>-1.8210590409520333E-2</v>
          </cell>
          <cell r="D32">
            <v>2.363665677967175E-2</v>
          </cell>
          <cell r="I32">
            <v>38900</v>
          </cell>
          <cell r="J32">
            <v>-1.0088057994054878E-2</v>
          </cell>
          <cell r="K32">
            <v>3.6398953041824278E-2</v>
          </cell>
        </row>
        <row r="33">
          <cell r="B33">
            <v>38991</v>
          </cell>
          <cell r="C33">
            <v>-5.9233326086988836E-2</v>
          </cell>
          <cell r="D33">
            <v>3.0895135286695741E-2</v>
          </cell>
          <cell r="I33">
            <v>38991</v>
          </cell>
          <cell r="J33">
            <v>-3.2119281690245693E-2</v>
          </cell>
          <cell r="K33">
            <v>4.2698878269073148E-2</v>
          </cell>
        </row>
        <row r="34">
          <cell r="B34">
            <v>39082</v>
          </cell>
          <cell r="C34">
            <v>-4.9597687722459649E-2</v>
          </cell>
          <cell r="D34">
            <v>2.8892838673073129E-2</v>
          </cell>
          <cell r="I34">
            <v>39082</v>
          </cell>
          <cell r="J34">
            <v>-1.1601137700309461E-2</v>
          </cell>
          <cell r="K34">
            <v>2.5961074017871066E-2</v>
          </cell>
        </row>
        <row r="35">
          <cell r="B35">
            <v>39173</v>
          </cell>
          <cell r="C35">
            <v>-6.6755749083029947E-2</v>
          </cell>
          <cell r="D35">
            <v>5.2309800702661668E-2</v>
          </cell>
          <cell r="I35">
            <v>39173</v>
          </cell>
          <cell r="J35">
            <v>1.7528391299416635E-2</v>
          </cell>
          <cell r="K35">
            <v>3.0103193291483032E-2</v>
          </cell>
        </row>
        <row r="36">
          <cell r="B36">
            <v>39264</v>
          </cell>
          <cell r="C36">
            <v>-8.2334629229567358E-2</v>
          </cell>
          <cell r="D36">
            <v>6.5274947810542772E-2</v>
          </cell>
          <cell r="I36">
            <v>39264</v>
          </cell>
          <cell r="J36">
            <v>-2.2959403707364712E-2</v>
          </cell>
          <cell r="K36">
            <v>3.5849773142942576E-2</v>
          </cell>
        </row>
        <row r="37">
          <cell r="B37">
            <v>39355</v>
          </cell>
          <cell r="C37">
            <v>-6.3579193036821913E-2</v>
          </cell>
          <cell r="D37">
            <v>6.1412519518491138E-2</v>
          </cell>
          <cell r="I37">
            <v>39355</v>
          </cell>
          <cell r="J37">
            <v>1.0190296266736176E-2</v>
          </cell>
          <cell r="K37">
            <v>3.9208509061158692E-2</v>
          </cell>
        </row>
        <row r="38">
          <cell r="B38">
            <v>39446</v>
          </cell>
          <cell r="C38">
            <v>-5.6055842585198579E-2</v>
          </cell>
          <cell r="D38">
            <v>5.6209328938154446E-2</v>
          </cell>
          <cell r="I38">
            <v>39446</v>
          </cell>
          <cell r="J38">
            <v>6.8943695396135318E-3</v>
          </cell>
          <cell r="K38">
            <v>4.2275907739498297E-2</v>
          </cell>
        </row>
        <row r="39">
          <cell r="B39">
            <v>39537</v>
          </cell>
          <cell r="C39">
            <v>-3.4059595301194734E-2</v>
          </cell>
          <cell r="D39">
            <v>3.2137228057661504E-2</v>
          </cell>
          <cell r="I39">
            <v>39537</v>
          </cell>
          <cell r="J39">
            <v>9.3241629576787943E-3</v>
          </cell>
          <cell r="K39">
            <v>3.0899922176893968E-2</v>
          </cell>
        </row>
        <row r="40">
          <cell r="B40">
            <v>39628</v>
          </cell>
          <cell r="C40">
            <v>-6.8555039540422413E-2</v>
          </cell>
          <cell r="D40">
            <v>4.1066055846832095E-2</v>
          </cell>
          <cell r="I40">
            <v>39628</v>
          </cell>
          <cell r="J40">
            <v>-3.8116711041111806E-3</v>
          </cell>
          <cell r="K40">
            <v>2.9067684140676953E-2</v>
          </cell>
        </row>
        <row r="41">
          <cell r="B41">
            <v>39719</v>
          </cell>
          <cell r="C41">
            <v>-1.8963072464331931E-2</v>
          </cell>
          <cell r="D41">
            <v>3.5977560069369918E-2</v>
          </cell>
          <cell r="I41">
            <v>39719</v>
          </cell>
          <cell r="J41">
            <v>3.776895183756479E-2</v>
          </cell>
          <cell r="K41">
            <v>2.2894239533513883E-2</v>
          </cell>
        </row>
        <row r="42">
          <cell r="B42">
            <v>39810</v>
          </cell>
          <cell r="C42">
            <v>-5.9540201531935288E-2</v>
          </cell>
          <cell r="D42">
            <v>8.058584365182031E-2</v>
          </cell>
          <cell r="I42">
            <v>39810</v>
          </cell>
          <cell r="J42">
            <v>7.0034148521627149E-3</v>
          </cell>
          <cell r="K42">
            <v>4.8841263686898895E-2</v>
          </cell>
        </row>
        <row r="43">
          <cell r="B43">
            <v>39901</v>
          </cell>
          <cell r="C43">
            <v>-3.300148935627123E-2</v>
          </cell>
          <cell r="D43">
            <v>7.1533666836093301E-2</v>
          </cell>
          <cell r="I43">
            <v>39901</v>
          </cell>
          <cell r="J43">
            <v>3.9111805083411166E-2</v>
          </cell>
          <cell r="K43">
            <v>3.3837455123153282E-2</v>
          </cell>
        </row>
        <row r="45">
          <cell r="B45" t="str">
            <v>CSDs</v>
          </cell>
          <cell r="I45" t="str">
            <v>BEER</v>
          </cell>
        </row>
        <row r="65">
          <cell r="B65">
            <v>38445</v>
          </cell>
          <cell r="C65">
            <v>2.071797795022623E-2</v>
          </cell>
          <cell r="D65">
            <v>-2.6869944063075968E-2</v>
          </cell>
        </row>
        <row r="66">
          <cell r="B66">
            <v>38536</v>
          </cell>
          <cell r="C66">
            <v>3.1933913805898273E-2</v>
          </cell>
          <cell r="D66">
            <v>-4.4824716761700079E-2</v>
          </cell>
        </row>
        <row r="67">
          <cell r="B67">
            <v>38627</v>
          </cell>
          <cell r="C67">
            <v>3.4381142032933631E-2</v>
          </cell>
          <cell r="D67">
            <v>-3.1568526084131632E-2</v>
          </cell>
        </row>
        <row r="68">
          <cell r="B68">
            <v>38718</v>
          </cell>
          <cell r="C68">
            <v>5.2532282740525238E-2</v>
          </cell>
          <cell r="D68">
            <v>-4.5703508666352421E-2</v>
          </cell>
        </row>
        <row r="69">
          <cell r="B69">
            <v>38809</v>
          </cell>
          <cell r="C69">
            <v>4.8382879669798262E-2</v>
          </cell>
          <cell r="D69">
            <v>-5.9555748120814989E-2</v>
          </cell>
        </row>
        <row r="70">
          <cell r="B70">
            <v>38900</v>
          </cell>
          <cell r="C70">
            <v>2.363665677967175E-2</v>
          </cell>
          <cell r="D70">
            <v>-1.8210590409520333E-2</v>
          </cell>
        </row>
        <row r="71">
          <cell r="B71">
            <v>38991</v>
          </cell>
          <cell r="C71">
            <v>3.0895135286695741E-2</v>
          </cell>
          <cell r="D71">
            <v>-5.9233326086988836E-2</v>
          </cell>
        </row>
        <row r="72">
          <cell r="B72">
            <v>39082</v>
          </cell>
          <cell r="C72">
            <v>2.8892838673073129E-2</v>
          </cell>
          <cell r="D72">
            <v>-4.9597687722459649E-2</v>
          </cell>
        </row>
        <row r="73">
          <cell r="B73">
            <v>39173</v>
          </cell>
          <cell r="C73">
            <v>5.2309800702661668E-2</v>
          </cell>
          <cell r="D73">
            <v>-6.6755749083029947E-2</v>
          </cell>
        </row>
        <row r="74">
          <cell r="B74">
            <v>39264</v>
          </cell>
          <cell r="C74">
            <v>6.5274947810542772E-2</v>
          </cell>
          <cell r="D74">
            <v>-8.2334629229567358E-2</v>
          </cell>
        </row>
        <row r="75">
          <cell r="B75">
            <v>39355</v>
          </cell>
          <cell r="C75">
            <v>6.1412519518491138E-2</v>
          </cell>
          <cell r="D75">
            <v>-6.3579193036821913E-2</v>
          </cell>
        </row>
        <row r="76">
          <cell r="B76">
            <v>39446</v>
          </cell>
          <cell r="C76">
            <v>5.6209328938154446E-2</v>
          </cell>
          <cell r="D76">
            <v>-5.6055842585198579E-2</v>
          </cell>
        </row>
        <row r="77">
          <cell r="B77">
            <v>39537</v>
          </cell>
          <cell r="C77">
            <v>3.2137228057661504E-2</v>
          </cell>
          <cell r="D77">
            <v>-3.4059595301194734E-2</v>
          </cell>
        </row>
        <row r="78">
          <cell r="B78">
            <v>39628</v>
          </cell>
          <cell r="C78">
            <v>4.1066055846832095E-2</v>
          </cell>
          <cell r="D78">
            <v>-6.8555039540422413E-2</v>
          </cell>
        </row>
        <row r="79">
          <cell r="B79">
            <v>39719</v>
          </cell>
          <cell r="C79">
            <v>3.5977560069369918E-2</v>
          </cell>
          <cell r="D79">
            <v>-1.8963072464331931E-2</v>
          </cell>
        </row>
        <row r="80">
          <cell r="B80">
            <v>39810</v>
          </cell>
          <cell r="C80">
            <v>8.058584365182031E-2</v>
          </cell>
          <cell r="D80">
            <v>-5.9540201531935288E-2</v>
          </cell>
        </row>
        <row r="81">
          <cell r="B81">
            <v>39901</v>
          </cell>
          <cell r="C81">
            <v>7.1533666836093301E-2</v>
          </cell>
          <cell r="D81">
            <v>-3.300148935627123E-2</v>
          </cell>
        </row>
      </sheetData>
      <sheetData sheetId="14" refreshError="1">
        <row r="1">
          <cell r="N1" t="str">
            <v>SmartCharts</v>
          </cell>
          <cell r="AW1" t="str">
            <v>.</v>
          </cell>
        </row>
        <row r="2">
          <cell r="AW2" t="str">
            <v>.</v>
          </cell>
        </row>
        <row r="3">
          <cell r="AW3" t="str">
            <v>.</v>
          </cell>
        </row>
        <row r="4">
          <cell r="AW4" t="str">
            <v>.</v>
          </cell>
        </row>
        <row r="5">
          <cell r="C5" t="str">
            <v>Define value axis here:</v>
          </cell>
        </row>
        <row r="6">
          <cell r="C6" t="str">
            <v>Vanilla Coke Case Volume - Millions</v>
          </cell>
        </row>
        <row r="10">
          <cell r="C10" t="str">
            <v>Input your data here:</v>
          </cell>
          <cell r="AW10" t="str">
            <v>.</v>
          </cell>
        </row>
        <row r="11">
          <cell r="C11">
            <v>2004</v>
          </cell>
          <cell r="D11">
            <v>28.274585306500001</v>
          </cell>
        </row>
        <row r="12">
          <cell r="C12">
            <v>2005</v>
          </cell>
          <cell r="D12">
            <v>16.690446459140002</v>
          </cell>
          <cell r="AW12" t="str">
            <v>.</v>
          </cell>
        </row>
        <row r="13">
          <cell r="C13">
            <v>2006</v>
          </cell>
          <cell r="D13">
            <v>19.671477770429998</v>
          </cell>
          <cell r="AW13" t="str">
            <v>.</v>
          </cell>
        </row>
        <row r="14">
          <cell r="C14">
            <v>2007</v>
          </cell>
          <cell r="D14">
            <v>6.604818826999999</v>
          </cell>
          <cell r="AW14" t="str">
            <v>.</v>
          </cell>
        </row>
        <row r="15">
          <cell r="C15">
            <v>2008</v>
          </cell>
          <cell r="D15">
            <v>3.9577772823999995</v>
          </cell>
          <cell r="AW15" t="str">
            <v>.</v>
          </cell>
        </row>
        <row r="16">
          <cell r="C16" t="str">
            <v>2009*</v>
          </cell>
          <cell r="D16">
            <v>3.2983514912</v>
          </cell>
          <cell r="AW16" t="str">
            <v>.</v>
          </cell>
        </row>
        <row r="17">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5" refreshError="1">
        <row r="1">
          <cell r="N1" t="str">
            <v>SmartCharts</v>
          </cell>
          <cell r="AW1" t="str">
            <v>.</v>
          </cell>
        </row>
        <row r="2">
          <cell r="AW2" t="str">
            <v>.</v>
          </cell>
        </row>
        <row r="3">
          <cell r="AW3" t="str">
            <v>.</v>
          </cell>
        </row>
        <row r="4">
          <cell r="AW4" t="str">
            <v>.</v>
          </cell>
        </row>
        <row r="10">
          <cell r="C10" t="str">
            <v>Input your data here:</v>
          </cell>
          <cell r="AW10" t="str">
            <v>.</v>
          </cell>
        </row>
        <row r="11">
          <cell r="C11" t="str">
            <v>Cola CSDs</v>
          </cell>
          <cell r="D11">
            <v>0.31</v>
          </cell>
          <cell r="AW11" t="str">
            <v>.</v>
          </cell>
        </row>
        <row r="12">
          <cell r="C12" t="str">
            <v>Flavored CSDs</v>
          </cell>
          <cell r="D12">
            <v>0.22</v>
          </cell>
          <cell r="AW12" t="str">
            <v>.</v>
          </cell>
        </row>
        <row r="13">
          <cell r="C13" t="str">
            <v>Juices, Tea, Bottled Water, Sports Drinks, Energy Drinks</v>
          </cell>
          <cell r="D13">
            <v>0.47</v>
          </cell>
          <cell r="AW13" t="str">
            <v>.</v>
          </cell>
        </row>
        <row r="14">
          <cell r="AW14" t="str">
            <v>.</v>
          </cell>
        </row>
        <row r="15">
          <cell r="AW15" t="str">
            <v>.</v>
          </cell>
        </row>
        <row r="16">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6" refreshError="1">
        <row r="1">
          <cell r="N1" t="str">
            <v>SmartCharts</v>
          </cell>
          <cell r="AW1" t="str">
            <v>.</v>
          </cell>
        </row>
        <row r="2">
          <cell r="AW2" t="str">
            <v>.</v>
          </cell>
        </row>
        <row r="3">
          <cell r="AW3" t="str">
            <v>.</v>
          </cell>
        </row>
        <row r="4">
          <cell r="AW4" t="str">
            <v>.</v>
          </cell>
        </row>
        <row r="10">
          <cell r="C10" t="str">
            <v>Input your data here:</v>
          </cell>
          <cell r="AW10" t="str">
            <v>.</v>
          </cell>
        </row>
        <row r="11">
          <cell r="C11" t="str">
            <v>Cola CSDs</v>
          </cell>
          <cell r="D11">
            <v>0.38</v>
          </cell>
          <cell r="AW11" t="str">
            <v>.</v>
          </cell>
        </row>
        <row r="12">
          <cell r="C12" t="str">
            <v>Flavored CSDs</v>
          </cell>
          <cell r="D12">
            <v>0.24</v>
          </cell>
          <cell r="AW12" t="str">
            <v>.</v>
          </cell>
        </row>
        <row r="13">
          <cell r="C13" t="str">
            <v>Juices, Tea, Bottled Water, Sports Drinks, Energy Drinks</v>
          </cell>
          <cell r="D13">
            <v>0.38</v>
          </cell>
          <cell r="AW13" t="str">
            <v>.</v>
          </cell>
        </row>
        <row r="14">
          <cell r="AW14" t="str">
            <v>.</v>
          </cell>
        </row>
        <row r="15">
          <cell r="AW15" t="str">
            <v>.</v>
          </cell>
        </row>
        <row r="16">
          <cell r="AW16" t="str">
            <v>.</v>
          </cell>
        </row>
        <row r="17">
          <cell r="C17" t="str">
            <v xml:space="preserve">Don't display more than </v>
          </cell>
          <cell r="AW17" t="str">
            <v>.</v>
          </cell>
        </row>
        <row r="18">
          <cell r="C18" t="str">
            <v>six items in a pie chart</v>
          </cell>
          <cell r="AW18" t="str">
            <v>.</v>
          </cell>
        </row>
        <row r="19">
          <cell r="C19" t="str">
            <v>(use a Bar chart instead).</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F36" t="str">
            <v>Do not change the width of the exhibit or font sizes (they are optimized for export to Word).</v>
          </cell>
          <cell r="AW36" t="str">
            <v>.</v>
          </cell>
        </row>
        <row r="37">
          <cell r="AW37" t="str">
            <v>.</v>
          </cell>
        </row>
        <row r="38">
          <cell r="F38" t="str">
            <v>Do not delete any rows or columns (some gray cells are used for calculations).</v>
          </cell>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995" t="str">
            <v>.</v>
          </cell>
          <cell r="B995" t="str">
            <v>.</v>
          </cell>
          <cell r="C995" t="str">
            <v>.</v>
          </cell>
          <cell r="D995" t="str">
            <v>.</v>
          </cell>
          <cell r="E995" t="str">
            <v>.</v>
          </cell>
          <cell r="F995" t="str">
            <v>.</v>
          </cell>
          <cell r="G995" t="str">
            <v>.</v>
          </cell>
          <cell r="H995" t="str">
            <v>.</v>
          </cell>
          <cell r="O995" t="str">
            <v>.</v>
          </cell>
          <cell r="P995" t="str">
            <v>.</v>
          </cell>
          <cell r="Q995" t="str">
            <v>.</v>
          </cell>
          <cell r="R995" t="str">
            <v>.</v>
          </cell>
          <cell r="S995" t="str">
            <v>.</v>
          </cell>
          <cell r="T995" t="str">
            <v>.</v>
          </cell>
          <cell r="U995" t="str">
            <v>.</v>
          </cell>
          <cell r="V995" t="str">
            <v>.</v>
          </cell>
          <cell r="W995" t="str">
            <v>.</v>
          </cell>
          <cell r="X995" t="str">
            <v>.</v>
          </cell>
          <cell r="Y995" t="str">
            <v>.</v>
          </cell>
          <cell r="Z995" t="str">
            <v>.</v>
          </cell>
          <cell r="AA995" t="str">
            <v>.</v>
          </cell>
          <cell r="AB995" t="str">
            <v>.</v>
          </cell>
          <cell r="AC995" t="str">
            <v>.</v>
          </cell>
          <cell r="AD995" t="str">
            <v>.</v>
          </cell>
          <cell r="AE995" t="str">
            <v>.</v>
          </cell>
          <cell r="AF995" t="str">
            <v>.</v>
          </cell>
          <cell r="AG995" t="str">
            <v>.</v>
          </cell>
          <cell r="AH995" t="str">
            <v>.</v>
          </cell>
          <cell r="AI995" t="str">
            <v>.</v>
          </cell>
          <cell r="AJ995" t="str">
            <v>.</v>
          </cell>
          <cell r="AK995" t="str">
            <v>.</v>
          </cell>
          <cell r="AL995" t="str">
            <v>.</v>
          </cell>
          <cell r="AM995" t="str">
            <v>.</v>
          </cell>
          <cell r="AN995" t="str">
            <v>.</v>
          </cell>
          <cell r="AO995" t="str">
            <v>.</v>
          </cell>
          <cell r="AP995" t="str">
            <v>.</v>
          </cell>
          <cell r="AQ995" t="str">
            <v>.</v>
          </cell>
          <cell r="AR995" t="str">
            <v>.</v>
          </cell>
          <cell r="AS995" t="str">
            <v>.</v>
          </cell>
          <cell r="AT995" t="str">
            <v>.</v>
          </cell>
          <cell r="AU995" t="str">
            <v>.</v>
          </cell>
          <cell r="AV995" t="str">
            <v>.</v>
          </cell>
          <cell r="AW995" t="str">
            <v>.</v>
          </cell>
        </row>
      </sheetData>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Data"/>
      <sheetName val="Unadj. PE"/>
      <sheetName val="Unadj. PE (2)"/>
      <sheetName val="Adj PE "/>
      <sheetName val="EV-EBITDA"/>
      <sheetName val="EV-EBITDA (2)"/>
      <sheetName val="Data 2_Adj D&amp;A and Tax"/>
    </sheetNames>
    <sheetDataSet>
      <sheetData sheetId="0"/>
      <sheetData sheetId="1">
        <row r="1">
          <cell r="A1" t="str">
            <v>Share Repurchases Analysis</v>
          </cell>
          <cell r="K1" t="str">
            <v>Financing Cost Impact</v>
          </cell>
          <cell r="S1" t="str">
            <v>Share Buyback - Dutch Auction</v>
          </cell>
        </row>
        <row r="2">
          <cell r="K2" t="str">
            <v>Incremental</v>
          </cell>
          <cell r="M2" t="str">
            <v xml:space="preserve">Net Earnings </v>
          </cell>
          <cell r="U2">
            <v>0.1</v>
          </cell>
        </row>
        <row r="3">
          <cell r="D3" t="str">
            <v xml:space="preserve">CY09E </v>
          </cell>
          <cell r="F3" t="str">
            <v>CY09E</v>
          </cell>
          <cell r="G3" t="str">
            <v>Pro-Forma</v>
          </cell>
          <cell r="H3" t="str">
            <v>Incremental</v>
          </cell>
          <cell r="K3" t="str">
            <v>CY10E</v>
          </cell>
          <cell r="M3" t="str">
            <v>Impact</v>
          </cell>
          <cell r="N3" t="str">
            <v>Unadj. CY10E</v>
          </cell>
          <cell r="O3" t="str">
            <v>Adj. CY10E</v>
          </cell>
          <cell r="P3" t="str">
            <v>Adj. CY10E</v>
          </cell>
          <cell r="Q3" t="str">
            <v>Unadj. CY10E</v>
          </cell>
          <cell r="S3" t="str">
            <v>FY10E Unadj.</v>
          </cell>
          <cell r="T3" t="str">
            <v xml:space="preserve">Share </v>
          </cell>
          <cell r="U3" t="str">
            <v>Adj. Share</v>
          </cell>
          <cell r="V3" t="str">
            <v>Shares</v>
          </cell>
          <cell r="W3" t="str">
            <v xml:space="preserve">Adj. </v>
          </cell>
        </row>
        <row r="4">
          <cell r="B4" t="str">
            <v xml:space="preserve">Defensive </v>
          </cell>
          <cell r="D4" t="str">
            <v>EBITDA</v>
          </cell>
          <cell r="E4" t="str">
            <v>Net Debt</v>
          </cell>
          <cell r="F4" t="str">
            <v>Net Debt/EBITDA</v>
          </cell>
          <cell r="G4" t="str">
            <v>Net Debt</v>
          </cell>
          <cell r="H4" t="str">
            <v>Capacity</v>
          </cell>
          <cell r="I4" t="str">
            <v>Cash</v>
          </cell>
          <cell r="J4" t="str">
            <v>Debt</v>
          </cell>
          <cell r="K4" t="str">
            <v>Financing Cost</v>
          </cell>
          <cell r="L4" t="str">
            <v>Tax Rate</v>
          </cell>
          <cell r="M4" t="str">
            <v>CY10E</v>
          </cell>
          <cell r="N4" t="str">
            <v>Net Earnings</v>
          </cell>
          <cell r="O4" t="str">
            <v>Net Earnings</v>
          </cell>
          <cell r="P4" t="str">
            <v>EPS</v>
          </cell>
          <cell r="Q4" t="str">
            <v>EPS</v>
          </cell>
          <cell r="S4" t="str">
            <v>Sharecount</v>
          </cell>
          <cell r="T4" t="str">
            <v>Price</v>
          </cell>
          <cell r="U4" t="str">
            <v>Price</v>
          </cell>
          <cell r="V4" t="str">
            <v>Repurchased</v>
          </cell>
          <cell r="W4" t="str">
            <v>Sharecount</v>
          </cell>
        </row>
        <row r="5">
          <cell r="B5" t="str">
            <v>Alberto-Culver</v>
          </cell>
          <cell r="D5">
            <v>276.87999999999994</v>
          </cell>
          <cell r="E5">
            <v>-205.262</v>
          </cell>
          <cell r="F5">
            <v>-0.74133920832129463</v>
          </cell>
          <cell r="G5">
            <v>545.26046176127988</v>
          </cell>
          <cell r="H5">
            <v>750.52246176127983</v>
          </cell>
          <cell r="I5">
            <v>205.262</v>
          </cell>
          <cell r="J5">
            <v>545.26046176127988</v>
          </cell>
          <cell r="K5">
            <v>-44.999774632095992</v>
          </cell>
          <cell r="L5">
            <v>0.29226598259213343</v>
          </cell>
          <cell r="M5">
            <v>-31.847871282821899</v>
          </cell>
          <cell r="N5">
            <v>179.25097135017782</v>
          </cell>
          <cell r="O5">
            <v>147.40310006735592</v>
          </cell>
          <cell r="P5">
            <v>1.8054602652899108</v>
          </cell>
          <cell r="Q5">
            <v>1.7951665600105937</v>
          </cell>
          <cell r="S5">
            <v>99.852000000000004</v>
          </cell>
          <cell r="T5">
            <v>37.47</v>
          </cell>
          <cell r="U5">
            <v>41.216999999999999</v>
          </cell>
          <cell r="V5">
            <v>18.209051162415506</v>
          </cell>
          <cell r="W5">
            <v>81.642948837584498</v>
          </cell>
        </row>
        <row r="6">
          <cell r="B6" t="str">
            <v>Chattem</v>
          </cell>
          <cell r="D6">
            <v>174.11480102780894</v>
          </cell>
          <cell r="E6">
            <v>340.52000000000004</v>
          </cell>
          <cell r="F6">
            <v>1.9557211563284245</v>
          </cell>
          <cell r="G6">
            <v>342.88470387133958</v>
          </cell>
          <cell r="H6">
            <v>2.3647038713395432</v>
          </cell>
          <cell r="K6">
            <v>-0.17735279035046572</v>
          </cell>
          <cell r="L6">
            <v>0.36199999999999999</v>
          </cell>
          <cell r="M6">
            <v>-0.11315108024359713</v>
          </cell>
          <cell r="N6">
            <v>104.61259174627956</v>
          </cell>
          <cell r="O6">
            <v>104.49944066603597</v>
          </cell>
          <cell r="P6">
            <v>5.4457500103908387</v>
          </cell>
          <cell r="Q6">
            <v>5.4444607846303352</v>
          </cell>
          <cell r="S6">
            <v>19.214499999999997</v>
          </cell>
          <cell r="T6">
            <v>84.88</v>
          </cell>
          <cell r="U6">
            <v>93.368000000000009</v>
          </cell>
          <cell r="V6">
            <v>2.5326705845038374E-2</v>
          </cell>
          <cell r="W6">
            <v>19.189173294154958</v>
          </cell>
        </row>
        <row r="7">
          <cell r="B7" t="str">
            <v>Church &amp; Dwight</v>
          </cell>
          <cell r="D7">
            <v>580.87130558401702</v>
          </cell>
          <cell r="E7">
            <v>90.6</v>
          </cell>
          <cell r="F7">
            <v>0.15597258657648677</v>
          </cell>
          <cell r="G7">
            <v>1143.9112839736301</v>
          </cell>
          <cell r="H7">
            <v>1053.3112839736302</v>
          </cell>
          <cell r="K7">
            <v>-78.99834629802227</v>
          </cell>
          <cell r="L7">
            <v>0.35329237881759606</v>
          </cell>
          <cell r="M7">
            <v>-51.088832611737743</v>
          </cell>
          <cell r="N7">
            <v>348.47260580538585</v>
          </cell>
          <cell r="O7">
            <v>297.3837731936481</v>
          </cell>
          <cell r="P7">
            <v>4.9510590459126584</v>
          </cell>
          <cell r="Q7">
            <v>4.8264235371447191</v>
          </cell>
          <cell r="S7">
            <v>72.200999999999993</v>
          </cell>
          <cell r="T7">
            <v>78.900000000000006</v>
          </cell>
          <cell r="U7">
            <v>86.79</v>
          </cell>
          <cell r="V7">
            <v>12.136320820067175</v>
          </cell>
          <cell r="W7">
            <v>60.064679179932817</v>
          </cell>
        </row>
        <row r="8">
          <cell r="B8" t="str">
            <v>Cyclical</v>
          </cell>
        </row>
        <row r="9">
          <cell r="B9" t="str">
            <v>Energizer</v>
          </cell>
          <cell r="D9">
            <v>837.69994243907513</v>
          </cell>
          <cell r="E9">
            <v>1951</v>
          </cell>
          <cell r="F9">
            <v>2.3289962206746764</v>
          </cell>
          <cell r="G9">
            <v>1649.6845472108055</v>
          </cell>
          <cell r="H9">
            <v>-301.31545278919452</v>
          </cell>
          <cell r="K9">
            <v>22.598658959189589</v>
          </cell>
          <cell r="L9">
            <v>0.30978545264259538</v>
          </cell>
          <cell r="M9">
            <v>15.597923164401399</v>
          </cell>
          <cell r="N9">
            <v>455.27145449218654</v>
          </cell>
          <cell r="O9">
            <v>470.86937765658791</v>
          </cell>
          <cell r="P9">
            <v>6.3417775038387942</v>
          </cell>
          <cell r="Q9">
            <v>6.4463214795353849</v>
          </cell>
          <cell r="S9">
            <v>70.625</v>
          </cell>
          <cell r="T9">
            <v>75.59</v>
          </cell>
          <cell r="U9">
            <v>83.149000000000015</v>
          </cell>
          <cell r="V9">
            <v>-3.6238012819059096</v>
          </cell>
          <cell r="W9">
            <v>74.248801281905912</v>
          </cell>
        </row>
        <row r="10">
          <cell r="B10" t="str">
            <v>Newell Rubbermaid</v>
          </cell>
          <cell r="D10">
            <v>944.67196645227955</v>
          </cell>
          <cell r="E10">
            <v>2392.7000000000003</v>
          </cell>
          <cell r="F10">
            <v>2.5328368840940603</v>
          </cell>
          <cell r="G10">
            <v>1860.3448159516988</v>
          </cell>
          <cell r="H10">
            <v>-532.35518404830145</v>
          </cell>
          <cell r="K10">
            <v>39.926638803622609</v>
          </cell>
          <cell r="L10">
            <v>0.28149143990506253</v>
          </cell>
          <cell r="M10">
            <v>28.687631756221538</v>
          </cell>
          <cell r="N10">
            <v>530.28086776624718</v>
          </cell>
          <cell r="O10">
            <v>558.96849952246873</v>
          </cell>
          <cell r="P10">
            <v>1.7844191160087384</v>
          </cell>
          <cell r="Q10">
            <v>1.8457391847067426</v>
          </cell>
          <cell r="S10">
            <v>287.3</v>
          </cell>
          <cell r="T10">
            <v>18.650000000000002</v>
          </cell>
          <cell r="U10">
            <v>20.515000000000004</v>
          </cell>
          <cell r="V10">
            <v>-25.949558081808497</v>
          </cell>
          <cell r="W10">
            <v>313.24955808180852</v>
          </cell>
        </row>
        <row r="11">
          <cell r="B11" t="str">
            <v>Tupperware</v>
          </cell>
          <cell r="D11">
            <v>469.0276260171708</v>
          </cell>
          <cell r="E11">
            <v>181.1</v>
          </cell>
          <cell r="F11">
            <v>0.38611798101924605</v>
          </cell>
          <cell r="G11">
            <v>923.65725202585782</v>
          </cell>
          <cell r="H11">
            <v>742.55725202585779</v>
          </cell>
          <cell r="K11">
            <v>-55.691793901939334</v>
          </cell>
          <cell r="L11">
            <v>0.23644166991806467</v>
          </cell>
          <cell r="M11">
            <v>-42.523933151032104</v>
          </cell>
          <cell r="N11">
            <v>330.62126549675634</v>
          </cell>
          <cell r="O11">
            <v>288.09733234572423</v>
          </cell>
          <cell r="P11">
            <v>5.3940537746622423</v>
          </cell>
          <cell r="Q11">
            <v>5.1720182322527384</v>
          </cell>
          <cell r="S11">
            <v>63.925000000000004</v>
          </cell>
          <cell r="T11">
            <v>64.2</v>
          </cell>
          <cell r="U11">
            <v>70.62</v>
          </cell>
          <cell r="V11">
            <v>10.514829397137607</v>
          </cell>
          <cell r="W11">
            <v>53.410170602862394</v>
          </cell>
        </row>
        <row r="12">
          <cell r="B12" t="str">
            <v>Weight Watchers</v>
          </cell>
          <cell r="D12">
            <v>539.00608368092435</v>
          </cell>
          <cell r="E12">
            <v>1061.4659999999999</v>
          </cell>
          <cell r="F12">
            <v>1.969302447852066</v>
          </cell>
          <cell r="G12">
            <v>1061.4659999999999</v>
          </cell>
          <cell r="H12">
            <v>0</v>
          </cell>
          <cell r="K12">
            <v>0</v>
          </cell>
          <cell r="L12">
            <v>0.38528277634961405</v>
          </cell>
          <cell r="M12">
            <v>0</v>
          </cell>
          <cell r="N12">
            <v>326.03216501428881</v>
          </cell>
          <cell r="O12">
            <v>326.03216501428881</v>
          </cell>
          <cell r="P12">
            <v>4.2983805539128381</v>
          </cell>
          <cell r="Q12">
            <v>4.2983805539128381</v>
          </cell>
          <cell r="S12">
            <v>75.850000000000009</v>
          </cell>
          <cell r="T12">
            <v>71.45</v>
          </cell>
          <cell r="U12">
            <v>78.595000000000013</v>
          </cell>
          <cell r="V12">
            <v>0</v>
          </cell>
          <cell r="W12">
            <v>75.850000000000009</v>
          </cell>
        </row>
        <row r="14">
          <cell r="B14" t="str">
            <v>Group Leverage Assumption</v>
          </cell>
          <cell r="D14">
            <v>1.969302447852066</v>
          </cell>
        </row>
        <row r="15">
          <cell r="B15" t="str">
            <v>Interest Expense</v>
          </cell>
          <cell r="D15">
            <v>7.4999999999999997E-2</v>
          </cell>
          <cell r="F15" t="str">
            <v>Calendar Year 2012E</v>
          </cell>
        </row>
        <row r="16">
          <cell r="B16" t="str">
            <v>Cash (ACV)</v>
          </cell>
          <cell r="D16">
            <v>0.02</v>
          </cell>
          <cell r="G16" t="str">
            <v>P/E</v>
          </cell>
          <cell r="H16" t="str">
            <v>P/E</v>
          </cell>
        </row>
        <row r="17">
          <cell r="G17" t="str">
            <v>Unadjusted</v>
          </cell>
          <cell r="H17" t="str">
            <v>Pro-Forma*</v>
          </cell>
          <cell r="I17" t="str">
            <v>EV/EBITDA</v>
          </cell>
          <cell r="K17" t="str">
            <v>Alberto Cash</v>
          </cell>
        </row>
        <row r="18">
          <cell r="E18" t="str">
            <v>ACV</v>
          </cell>
          <cell r="F18" t="str">
            <v>Alberto-Culver</v>
          </cell>
          <cell r="G18">
            <v>20.872715008561034</v>
          </cell>
          <cell r="H18">
            <v>20.75371068550394</v>
          </cell>
          <cell r="I18">
            <v>12.073077810164955</v>
          </cell>
          <cell r="K18">
            <v>16.394032395264489</v>
          </cell>
        </row>
        <row r="19">
          <cell r="E19" t="str">
            <v>CHD</v>
          </cell>
          <cell r="F19" t="str">
            <v>Church &amp; Dwight</v>
          </cell>
          <cell r="G19">
            <v>16.347508541837737</v>
          </cell>
          <cell r="H19">
            <v>15.935984456726651</v>
          </cell>
          <cell r="I19">
            <v>9.2214913885479781</v>
          </cell>
          <cell r="K19">
            <v>0.17650035468516556</v>
          </cell>
        </row>
        <row r="20">
          <cell r="E20" t="str">
            <v>ENR</v>
          </cell>
          <cell r="F20" t="str">
            <v>Energizer</v>
          </cell>
          <cell r="G20">
            <v>11.726067376560332</v>
          </cell>
          <cell r="H20">
            <v>11.919371178544814</v>
          </cell>
          <cell r="I20">
            <v>8.4173991830223116</v>
          </cell>
          <cell r="K20">
            <v>13.934574970571575</v>
          </cell>
        </row>
        <row r="21">
          <cell r="E21" t="str">
            <v>NWL</v>
          </cell>
          <cell r="F21" t="str">
            <v>Newell Rubbermaid</v>
          </cell>
          <cell r="G21">
            <v>10.104352854687418</v>
          </cell>
          <cell r="H21">
            <v>10.451580479430749</v>
          </cell>
          <cell r="I21">
            <v>7.7140854375837726</v>
          </cell>
        </row>
        <row r="22">
          <cell r="E22" t="str">
            <v>TUP</v>
          </cell>
          <cell r="F22" t="str">
            <v>Tupperware</v>
          </cell>
          <cell r="G22">
            <v>12.41294928151034</v>
          </cell>
          <cell r="H22">
            <v>11.901994804273155</v>
          </cell>
          <cell r="I22">
            <v>8.06445140422667</v>
          </cell>
        </row>
        <row r="23">
          <cell r="E23" t="str">
            <v>WTW</v>
          </cell>
          <cell r="F23" t="str">
            <v>Weight Watchers</v>
          </cell>
          <cell r="G23">
            <v>16.622539373569122</v>
          </cell>
          <cell r="H23">
            <v>16.622539373569122</v>
          </cell>
          <cell r="I23">
            <v>10.840406059838985</v>
          </cell>
        </row>
        <row r="24">
          <cell r="E24" t="str">
            <v>WTW</v>
          </cell>
          <cell r="F24" t="str">
            <v>SMID HPC Average</v>
          </cell>
          <cell r="G24">
            <v>13.442683485632992</v>
          </cell>
          <cell r="H24">
            <v>13.366294058508899</v>
          </cell>
          <cell r="I24">
            <v>8.8515666946439442</v>
          </cell>
          <cell r="K24" t="str">
            <v>ex ACV</v>
          </cell>
        </row>
        <row r="25">
          <cell r="F25" t="str">
            <v>SMID HPC Average</v>
          </cell>
          <cell r="G25">
            <v>11.688643001665126</v>
          </cell>
          <cell r="H25">
            <v>10.779788725164481</v>
          </cell>
          <cell r="I25">
            <v>8.0411087303183013</v>
          </cell>
        </row>
        <row r="27">
          <cell r="E27" t="str">
            <v>ACV</v>
          </cell>
          <cell r="F27" t="str">
            <v>Alberto-Culver</v>
          </cell>
          <cell r="G27">
            <v>0.55271936818782996</v>
          </cell>
          <cell r="H27">
            <v>0.55268996736550613</v>
          </cell>
          <cell r="I27">
            <v>0.36394812654694642</v>
          </cell>
        </row>
        <row r="28">
          <cell r="E28" t="str">
            <v>CHD</v>
          </cell>
          <cell r="F28" t="str">
            <v>Church &amp; Dwight</v>
          </cell>
          <cell r="G28">
            <v>0.21608967133008128</v>
          </cell>
          <cell r="H28">
            <v>0.19225152364367615</v>
          </cell>
          <cell r="I28">
            <v>4.1792002101489478E-2</v>
          </cell>
        </row>
        <row r="29">
          <cell r="E29" t="str">
            <v>ENR</v>
          </cell>
          <cell r="F29" t="str">
            <v>Energizer</v>
          </cell>
          <cell r="G29">
            <v>-0.12769891598707295</v>
          </cell>
          <cell r="H29">
            <v>-0.10825161212452772</v>
          </cell>
          <cell r="I29">
            <v>-4.904979272023624E-2</v>
          </cell>
        </row>
        <row r="30">
          <cell r="E30" t="str">
            <v>NWL</v>
          </cell>
          <cell r="F30" t="str">
            <v>Newell Rubbermaid</v>
          </cell>
          <cell r="G30">
            <v>-0.24833811154695784</v>
          </cell>
          <cell r="H30">
            <v>-0.21806445124725216</v>
          </cell>
          <cell r="I30">
            <v>-0.12850620644913158</v>
          </cell>
        </row>
        <row r="31">
          <cell r="E31" t="str">
            <v>TUP</v>
          </cell>
          <cell r="F31" t="str">
            <v>Tupperware</v>
          </cell>
          <cell r="G31">
            <v>-7.6601833646027018E-2</v>
          </cell>
          <cell r="H31">
            <v>-0.10955162648868855</v>
          </cell>
          <cell r="I31">
            <v>-8.8923838860475946E-2</v>
          </cell>
        </row>
        <row r="32">
          <cell r="E32" t="str">
            <v>WTW</v>
          </cell>
          <cell r="F32" t="str">
            <v>Weight Watchers</v>
          </cell>
          <cell r="G32">
            <v>0.23654918984997564</v>
          </cell>
          <cell r="H32">
            <v>0.24361616621679194</v>
          </cell>
          <cell r="I32">
            <v>0.22468783592835395</v>
          </cell>
        </row>
        <row r="33">
          <cell r="E33" t="str">
            <v>WTW</v>
          </cell>
          <cell r="F33" t="str">
            <v>Weight Watchers</v>
          </cell>
          <cell r="G33">
            <v>-8.241598095607594E-2</v>
          </cell>
          <cell r="H33">
            <v>-5.0535964958002833E-3</v>
          </cell>
          <cell r="I33">
            <v>9.5766009059514934E-2</v>
          </cell>
        </row>
      </sheetData>
      <sheetData sheetId="2"/>
      <sheetData sheetId="3"/>
      <sheetData sheetId="4">
        <row r="1">
          <cell r="N1" t="str">
            <v>SmartCharts</v>
          </cell>
          <cell r="AW1" t="str">
            <v>.</v>
          </cell>
        </row>
        <row r="2">
          <cell r="AW2" t="str">
            <v>.</v>
          </cell>
        </row>
        <row r="3">
          <cell r="AW3" t="str">
            <v>.</v>
          </cell>
        </row>
        <row r="4">
          <cell r="AW4" t="str">
            <v>.</v>
          </cell>
        </row>
        <row r="5">
          <cell r="C5" t="str">
            <v>Define value axis here:</v>
          </cell>
        </row>
        <row r="6">
          <cell r="C6" t="str">
            <v>Adjusted CY10E P/E - Premium/(Discount) to SMID HPC Group Avg.*</v>
          </cell>
        </row>
        <row r="10">
          <cell r="C10" t="str">
            <v>Input your data here:</v>
          </cell>
          <cell r="AW10" t="str">
            <v>.</v>
          </cell>
        </row>
        <row r="11">
          <cell r="C11" t="str">
            <v>ACV</v>
          </cell>
          <cell r="D11">
            <v>0.55268996736550613</v>
          </cell>
        </row>
        <row r="12">
          <cell r="C12" t="str">
            <v>CHD</v>
          </cell>
          <cell r="D12">
            <v>0.19225152364367615</v>
          </cell>
          <cell r="AW12" t="str">
            <v>.</v>
          </cell>
        </row>
        <row r="13">
          <cell r="C13" t="str">
            <v>CHTT</v>
          </cell>
          <cell r="D13" t="e">
            <v>#REF!</v>
          </cell>
          <cell r="AW13" t="str">
            <v>.</v>
          </cell>
        </row>
        <row r="14">
          <cell r="C14" t="str">
            <v>TUP</v>
          </cell>
          <cell r="D14">
            <v>-0.10955162648868855</v>
          </cell>
          <cell r="AW14" t="str">
            <v>.</v>
          </cell>
        </row>
        <row r="15">
          <cell r="C15" t="str">
            <v>WTW</v>
          </cell>
          <cell r="D15">
            <v>0.24361616621679194</v>
          </cell>
          <cell r="AW15" t="str">
            <v>.</v>
          </cell>
        </row>
        <row r="16">
          <cell r="C16" t="str">
            <v>NWL</v>
          </cell>
          <cell r="D16">
            <v>-0.21806445124725216</v>
          </cell>
          <cell r="AW16" t="str">
            <v>.</v>
          </cell>
        </row>
        <row r="17">
          <cell r="C17" t="str">
            <v>ENR</v>
          </cell>
          <cell r="D17">
            <v>-0.10825161212452772</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5">
        <row r="1">
          <cell r="N1" t="str">
            <v>SmartCharts</v>
          </cell>
          <cell r="O1" t="str">
            <v>SmartCharts</v>
          </cell>
          <cell r="AW1" t="str">
            <v>.</v>
          </cell>
          <cell r="AX1" t="str">
            <v>.</v>
          </cell>
        </row>
        <row r="2">
          <cell r="AW2" t="str">
            <v>.</v>
          </cell>
          <cell r="AX2" t="str">
            <v>.</v>
          </cell>
        </row>
        <row r="3">
          <cell r="AW3" t="str">
            <v>.</v>
          </cell>
          <cell r="AX3" t="str">
            <v>.</v>
          </cell>
        </row>
        <row r="4">
          <cell r="AW4" t="str">
            <v>.</v>
          </cell>
          <cell r="AX4" t="str">
            <v>.</v>
          </cell>
        </row>
        <row r="5">
          <cell r="C5" t="str">
            <v>Define value axis here:</v>
          </cell>
        </row>
        <row r="6">
          <cell r="C6" t="str">
            <v>CY12E EV/EBITDA - Premium/(Discount) to SMID HPC Group Avg.</v>
          </cell>
        </row>
        <row r="10">
          <cell r="C10" t="str">
            <v>Input your data here:</v>
          </cell>
          <cell r="AW10" t="str">
            <v>.</v>
          </cell>
          <cell r="AX10" t="str">
            <v>.</v>
          </cell>
        </row>
        <row r="11">
          <cell r="C11" t="str">
            <v>TUP</v>
          </cell>
          <cell r="D11" t="str">
            <v>Series 1</v>
          </cell>
          <cell r="E11" t="str">
            <v>Series 2</v>
          </cell>
          <cell r="AX11" t="str">
            <v>.</v>
          </cell>
        </row>
        <row r="12">
          <cell r="B12">
            <v>1</v>
          </cell>
          <cell r="C12" t="str">
            <v>ACV</v>
          </cell>
          <cell r="D12">
            <v>0.36394812654694642</v>
          </cell>
          <cell r="E12">
            <v>12.073077810164955</v>
          </cell>
          <cell r="AW12" t="str">
            <v>.</v>
          </cell>
          <cell r="AX12" t="str">
            <v>.</v>
          </cell>
        </row>
        <row r="13">
          <cell r="B13">
            <v>2</v>
          </cell>
          <cell r="C13" t="str">
            <v>WTW</v>
          </cell>
          <cell r="D13">
            <v>0.22468783592835395</v>
          </cell>
          <cell r="E13">
            <v>10.840406059838985</v>
          </cell>
          <cell r="AW13" t="str">
            <v>.</v>
          </cell>
          <cell r="AX13" t="str">
            <v>.</v>
          </cell>
        </row>
        <row r="14">
          <cell r="B14">
            <v>3</v>
          </cell>
          <cell r="C14" t="str">
            <v>CHD</v>
          </cell>
          <cell r="D14">
            <v>4.1792002101489478E-2</v>
          </cell>
          <cell r="E14">
            <v>9.2214913885479781</v>
          </cell>
          <cell r="AW14" t="str">
            <v>.</v>
          </cell>
          <cell r="AX14" t="str">
            <v>.</v>
          </cell>
        </row>
        <row r="15">
          <cell r="B15">
            <v>4</v>
          </cell>
          <cell r="C15" t="str">
            <v>ENR</v>
          </cell>
          <cell r="D15">
            <v>-4.904979272023624E-2</v>
          </cell>
          <cell r="E15">
            <v>8.4173991830223116</v>
          </cell>
          <cell r="AW15" t="str">
            <v>.</v>
          </cell>
          <cell r="AX15" t="str">
            <v>.</v>
          </cell>
        </row>
        <row r="16">
          <cell r="B16">
            <v>5</v>
          </cell>
          <cell r="C16" t="str">
            <v>TUP</v>
          </cell>
          <cell r="D16">
            <v>-8.8923838860475946E-2</v>
          </cell>
          <cell r="E16">
            <v>8.06445140422667</v>
          </cell>
          <cell r="AW16" t="str">
            <v>.</v>
          </cell>
          <cell r="AX16" t="str">
            <v>.</v>
          </cell>
        </row>
        <row r="17">
          <cell r="B17">
            <v>6</v>
          </cell>
          <cell r="C17" t="str">
            <v>NWL</v>
          </cell>
          <cell r="D17">
            <v>-0.12850620644913158</v>
          </cell>
          <cell r="E17">
            <v>7.7140854375837726</v>
          </cell>
          <cell r="AW17" t="str">
            <v>.</v>
          </cell>
          <cell r="AX17" t="str">
            <v>.</v>
          </cell>
        </row>
        <row r="18">
          <cell r="B18">
            <v>7</v>
          </cell>
          <cell r="C18" t="str">
            <v>NWL</v>
          </cell>
          <cell r="D18">
            <v>-0.15743386044940111</v>
          </cell>
          <cell r="E18">
            <v>6.7751659406109086</v>
          </cell>
          <cell r="AW18" t="str">
            <v>.</v>
          </cell>
          <cell r="AX18" t="str">
            <v>.</v>
          </cell>
        </row>
        <row r="19">
          <cell r="AW19" t="str">
            <v>.</v>
          </cell>
        </row>
        <row r="20">
          <cell r="AW20" t="str">
            <v>.</v>
          </cell>
          <cell r="AX20" t="str">
            <v>.</v>
          </cell>
        </row>
        <row r="21">
          <cell r="AW21" t="str">
            <v>.</v>
          </cell>
          <cell r="AX21" t="str">
            <v>.</v>
          </cell>
        </row>
        <row r="22">
          <cell r="AW22" t="str">
            <v>.</v>
          </cell>
          <cell r="AX22" t="str">
            <v>.</v>
          </cell>
        </row>
        <row r="23">
          <cell r="AW23" t="str">
            <v>.</v>
          </cell>
          <cell r="AX23" t="str">
            <v>.</v>
          </cell>
        </row>
        <row r="24">
          <cell r="AW24" t="str">
            <v>.</v>
          </cell>
          <cell r="AX24" t="str">
            <v>.</v>
          </cell>
        </row>
        <row r="25">
          <cell r="AW25" t="str">
            <v>.</v>
          </cell>
          <cell r="AX25" t="str">
            <v>.</v>
          </cell>
        </row>
        <row r="26">
          <cell r="AW26" t="str">
            <v>.</v>
          </cell>
          <cell r="AX26" t="str">
            <v>.</v>
          </cell>
        </row>
        <row r="27">
          <cell r="AW27" t="str">
            <v>.</v>
          </cell>
          <cell r="AX27" t="str">
            <v>.</v>
          </cell>
        </row>
        <row r="28">
          <cell r="AW28" t="str">
            <v>.</v>
          </cell>
          <cell r="AX28" t="str">
            <v>.</v>
          </cell>
        </row>
        <row r="29">
          <cell r="AW29" t="str">
            <v>.</v>
          </cell>
          <cell r="AX29" t="str">
            <v>.</v>
          </cell>
        </row>
        <row r="30">
          <cell r="AW30" t="str">
            <v>.</v>
          </cell>
          <cell r="AX30" t="str">
            <v>.</v>
          </cell>
        </row>
        <row r="31">
          <cell r="AW31" t="str">
            <v>.</v>
          </cell>
          <cell r="AX31" t="str">
            <v>.</v>
          </cell>
        </row>
        <row r="32">
          <cell r="AW32" t="str">
            <v>.</v>
          </cell>
          <cell r="AX32" t="str">
            <v>.</v>
          </cell>
        </row>
        <row r="33">
          <cell r="AW33" t="str">
            <v>.</v>
          </cell>
          <cell r="AX33" t="str">
            <v>.</v>
          </cell>
        </row>
        <row r="34">
          <cell r="AW34" t="str">
            <v>.</v>
          </cell>
          <cell r="AX34" t="str">
            <v>.</v>
          </cell>
        </row>
        <row r="35">
          <cell r="G35" t="str">
            <v>Do not change the width of the exhibit or font sizes (they are optimized for export to Word).</v>
          </cell>
          <cell r="AW35" t="str">
            <v>.</v>
          </cell>
          <cell r="AX35" t="str">
            <v>.</v>
          </cell>
        </row>
        <row r="36">
          <cell r="C36">
            <v>1.6666666666666667</v>
          </cell>
          <cell r="AW36" t="str">
            <v>.</v>
          </cell>
          <cell r="AX36" t="str">
            <v>.</v>
          </cell>
        </row>
        <row r="37">
          <cell r="G37" t="str">
            <v>Do not delete any rows or columns (some gray cells are used for calculations).</v>
          </cell>
          <cell r="AW37" t="str">
            <v>.</v>
          </cell>
          <cell r="AX37" t="str">
            <v>.</v>
          </cell>
        </row>
        <row r="38">
          <cell r="AW38" t="str">
            <v>.</v>
          </cell>
          <cell r="AX38" t="str">
            <v>.</v>
          </cell>
        </row>
        <row r="39">
          <cell r="AW39" t="str">
            <v>.</v>
          </cell>
          <cell r="AX39" t="str">
            <v>.</v>
          </cell>
        </row>
        <row r="40">
          <cell r="AW40" t="str">
            <v>.</v>
          </cell>
          <cell r="AX40" t="str">
            <v>.</v>
          </cell>
        </row>
        <row r="41">
          <cell r="AW41" t="str">
            <v>.</v>
          </cell>
          <cell r="AX41" t="str">
            <v>.</v>
          </cell>
        </row>
        <row r="42">
          <cell r="AW42" t="str">
            <v>.</v>
          </cell>
          <cell r="AX42" t="str">
            <v>.</v>
          </cell>
        </row>
        <row r="43">
          <cell r="AW43" t="str">
            <v>.</v>
          </cell>
          <cell r="AX43" t="str">
            <v>.</v>
          </cell>
        </row>
        <row r="44">
          <cell r="AW44" t="str">
            <v>.</v>
          </cell>
          <cell r="AX44" t="str">
            <v>.</v>
          </cell>
        </row>
        <row r="45">
          <cell r="AW45" t="str">
            <v>.</v>
          </cell>
          <cell r="AX45" t="str">
            <v>.</v>
          </cell>
        </row>
        <row r="46">
          <cell r="AW46" t="str">
            <v>.</v>
          </cell>
          <cell r="AX46" t="str">
            <v>.</v>
          </cell>
        </row>
        <row r="47">
          <cell r="AW47" t="str">
            <v>.</v>
          </cell>
          <cell r="AX47" t="str">
            <v>.</v>
          </cell>
        </row>
        <row r="48">
          <cell r="AW48" t="str">
            <v>.</v>
          </cell>
          <cell r="AX48" t="str">
            <v>.</v>
          </cell>
        </row>
        <row r="49">
          <cell r="AW49" t="str">
            <v>.</v>
          </cell>
          <cell r="AX49" t="str">
            <v>.</v>
          </cell>
        </row>
        <row r="50">
          <cell r="AW50" t="str">
            <v>.</v>
          </cell>
          <cell r="AX50" t="str">
            <v>.</v>
          </cell>
        </row>
        <row r="51">
          <cell r="AW51" t="str">
            <v>.</v>
          </cell>
          <cell r="AX51" t="str">
            <v>.</v>
          </cell>
        </row>
        <row r="52">
          <cell r="AW52" t="str">
            <v>.</v>
          </cell>
          <cell r="AX52" t="str">
            <v>.</v>
          </cell>
        </row>
        <row r="53">
          <cell r="AW53" t="str">
            <v>.</v>
          </cell>
          <cell r="AX53" t="str">
            <v>.</v>
          </cell>
        </row>
        <row r="54">
          <cell r="AW54" t="str">
            <v>.</v>
          </cell>
          <cell r="AX54" t="str">
            <v>.</v>
          </cell>
        </row>
        <row r="55">
          <cell r="AW55" t="str">
            <v>.</v>
          </cell>
          <cell r="AX55" t="str">
            <v>.</v>
          </cell>
        </row>
        <row r="56">
          <cell r="AW56" t="str">
            <v>.</v>
          </cell>
          <cell r="AX56" t="str">
            <v>.</v>
          </cell>
        </row>
        <row r="57">
          <cell r="AW57" t="str">
            <v>.</v>
          </cell>
          <cell r="AX57" t="str">
            <v>.</v>
          </cell>
        </row>
        <row r="58">
          <cell r="AW58" t="str">
            <v>.</v>
          </cell>
          <cell r="AX58" t="str">
            <v>.</v>
          </cell>
        </row>
        <row r="59">
          <cell r="AW59" t="str">
            <v>.</v>
          </cell>
          <cell r="AX59" t="str">
            <v>.</v>
          </cell>
        </row>
        <row r="60">
          <cell r="AW60" t="str">
            <v>.</v>
          </cell>
          <cell r="AX60" t="str">
            <v>.</v>
          </cell>
        </row>
        <row r="61">
          <cell r="AW61" t="str">
            <v>.</v>
          </cell>
          <cell r="AX61" t="str">
            <v>.</v>
          </cell>
        </row>
        <row r="62">
          <cell r="AW62" t="str">
            <v>.</v>
          </cell>
          <cell r="AX62" t="str">
            <v>.</v>
          </cell>
        </row>
        <row r="63">
          <cell r="AW63" t="str">
            <v>.</v>
          </cell>
          <cell r="AX63" t="str">
            <v>.</v>
          </cell>
        </row>
        <row r="64">
          <cell r="AW64" t="str">
            <v>.</v>
          </cell>
          <cell r="AX64" t="str">
            <v>.</v>
          </cell>
        </row>
        <row r="65">
          <cell r="AW65" t="str">
            <v>.</v>
          </cell>
          <cell r="AX65" t="str">
            <v>.</v>
          </cell>
        </row>
        <row r="66">
          <cell r="AW66" t="str">
            <v>.</v>
          </cell>
          <cell r="AX66" t="str">
            <v>.</v>
          </cell>
        </row>
        <row r="67">
          <cell r="AW67" t="str">
            <v>.</v>
          </cell>
          <cell r="AX67" t="str">
            <v>.</v>
          </cell>
        </row>
        <row r="68">
          <cell r="AW68" t="str">
            <v>.</v>
          </cell>
          <cell r="AX68" t="str">
            <v>.</v>
          </cell>
        </row>
        <row r="69">
          <cell r="AW69" t="str">
            <v>.</v>
          </cell>
          <cell r="AX69" t="str">
            <v>.</v>
          </cell>
        </row>
        <row r="70">
          <cell r="AW70" t="str">
            <v>.</v>
          </cell>
          <cell r="AX70" t="str">
            <v>.</v>
          </cell>
        </row>
        <row r="71">
          <cell r="AW71" t="str">
            <v>.</v>
          </cell>
          <cell r="AX71" t="str">
            <v>.</v>
          </cell>
        </row>
        <row r="72">
          <cell r="AW72" t="str">
            <v>.</v>
          </cell>
          <cell r="AX72" t="str">
            <v>.</v>
          </cell>
        </row>
        <row r="73">
          <cell r="AW73" t="str">
            <v>.</v>
          </cell>
          <cell r="AX73" t="str">
            <v>.</v>
          </cell>
        </row>
        <row r="74">
          <cell r="AW74" t="str">
            <v>.</v>
          </cell>
          <cell r="AX74" t="str">
            <v>.</v>
          </cell>
        </row>
        <row r="75">
          <cell r="AW75" t="str">
            <v>.</v>
          </cell>
          <cell r="AX75" t="str">
            <v>.</v>
          </cell>
        </row>
        <row r="76">
          <cell r="AW76" t="str">
            <v>.</v>
          </cell>
          <cell r="AX76" t="str">
            <v>.</v>
          </cell>
        </row>
        <row r="77">
          <cell r="AW77" t="str">
            <v>.</v>
          </cell>
          <cell r="AX77" t="str">
            <v>.</v>
          </cell>
        </row>
        <row r="78">
          <cell r="AW78" t="str">
            <v>.</v>
          </cell>
          <cell r="AX78" t="str">
            <v>.</v>
          </cell>
        </row>
        <row r="79">
          <cell r="AW79" t="str">
            <v>.</v>
          </cell>
          <cell r="AX79" t="str">
            <v>.</v>
          </cell>
        </row>
        <row r="80">
          <cell r="AW80" t="str">
            <v>.</v>
          </cell>
          <cell r="AX80" t="str">
            <v>.</v>
          </cell>
        </row>
        <row r="81">
          <cell r="AW81" t="str">
            <v>.</v>
          </cell>
          <cell r="AX81" t="str">
            <v>.</v>
          </cell>
        </row>
        <row r="82">
          <cell r="AW82" t="str">
            <v>.</v>
          </cell>
          <cell r="AX82" t="str">
            <v>.</v>
          </cell>
        </row>
        <row r="83">
          <cell r="AW83" t="str">
            <v>.</v>
          </cell>
          <cell r="AX83" t="str">
            <v>.</v>
          </cell>
        </row>
        <row r="84">
          <cell r="AW84" t="str">
            <v>.</v>
          </cell>
          <cell r="AX84" t="str">
            <v>.</v>
          </cell>
        </row>
        <row r="85">
          <cell r="AW85" t="str">
            <v>.</v>
          </cell>
          <cell r="AX85" t="str">
            <v>.</v>
          </cell>
        </row>
        <row r="86">
          <cell r="AW86" t="str">
            <v>.</v>
          </cell>
          <cell r="AX86" t="str">
            <v>.</v>
          </cell>
        </row>
        <row r="87">
          <cell r="AW87" t="str">
            <v>.</v>
          </cell>
          <cell r="AX87" t="str">
            <v>.</v>
          </cell>
        </row>
        <row r="88">
          <cell r="AW88" t="str">
            <v>.</v>
          </cell>
          <cell r="AX88" t="str">
            <v>.</v>
          </cell>
        </row>
        <row r="89">
          <cell r="AW89" t="str">
            <v>.</v>
          </cell>
          <cell r="AX89" t="str">
            <v>.</v>
          </cell>
        </row>
        <row r="90">
          <cell r="AW90" t="str">
            <v>.</v>
          </cell>
          <cell r="AX90" t="str">
            <v>.</v>
          </cell>
        </row>
        <row r="91">
          <cell r="AW91" t="str">
            <v>.</v>
          </cell>
          <cell r="AX91" t="str">
            <v>.</v>
          </cell>
        </row>
        <row r="92">
          <cell r="AW92" t="str">
            <v>.</v>
          </cell>
          <cell r="AX92" t="str">
            <v>.</v>
          </cell>
        </row>
        <row r="93">
          <cell r="AW93" t="str">
            <v>.</v>
          </cell>
          <cell r="AX93" t="str">
            <v>.</v>
          </cell>
        </row>
        <row r="94">
          <cell r="AW94" t="str">
            <v>.</v>
          </cell>
          <cell r="AX94" t="str">
            <v>.</v>
          </cell>
        </row>
        <row r="95">
          <cell r="AW95" t="str">
            <v>.</v>
          </cell>
          <cell r="AX95" t="str">
            <v>.</v>
          </cell>
        </row>
        <row r="96">
          <cell r="AW96" t="str">
            <v>.</v>
          </cell>
          <cell r="AX96" t="str">
            <v>.</v>
          </cell>
        </row>
        <row r="97">
          <cell r="AW97" t="str">
            <v>.</v>
          </cell>
          <cell r="AX97" t="str">
            <v>.</v>
          </cell>
        </row>
        <row r="98">
          <cell r="AW98" t="str">
            <v>.</v>
          </cell>
          <cell r="AX98" t="str">
            <v>.</v>
          </cell>
        </row>
        <row r="99">
          <cell r="AW99" t="str">
            <v>.</v>
          </cell>
          <cell r="AX99" t="str">
            <v>.</v>
          </cell>
        </row>
        <row r="100">
          <cell r="AW100" t="str">
            <v>.</v>
          </cell>
          <cell r="AX100" t="str">
            <v>.</v>
          </cell>
        </row>
        <row r="101">
          <cell r="AW101" t="str">
            <v>.</v>
          </cell>
          <cell r="AX101" t="str">
            <v>.</v>
          </cell>
        </row>
        <row r="102">
          <cell r="AW102" t="str">
            <v>.</v>
          </cell>
          <cell r="AX102" t="str">
            <v>.</v>
          </cell>
        </row>
        <row r="103">
          <cell r="AW103" t="str">
            <v>.</v>
          </cell>
          <cell r="AX103" t="str">
            <v>.</v>
          </cell>
        </row>
        <row r="104">
          <cell r="AW104" t="str">
            <v>.</v>
          </cell>
          <cell r="AX104" t="str">
            <v>.</v>
          </cell>
        </row>
        <row r="105">
          <cell r="AW105" t="str">
            <v>.</v>
          </cell>
          <cell r="AX105" t="str">
            <v>.</v>
          </cell>
        </row>
        <row r="106">
          <cell r="AW106" t="str">
            <v>.</v>
          </cell>
          <cell r="AX106" t="str">
            <v>.</v>
          </cell>
        </row>
        <row r="107">
          <cell r="AW107" t="str">
            <v>.</v>
          </cell>
          <cell r="AX107" t="str">
            <v>.</v>
          </cell>
        </row>
        <row r="108">
          <cell r="AW108" t="str">
            <v>.</v>
          </cell>
          <cell r="AX108" t="str">
            <v>.</v>
          </cell>
        </row>
        <row r="109">
          <cell r="AW109" t="str">
            <v>.</v>
          </cell>
          <cell r="AX109" t="str">
            <v>.</v>
          </cell>
        </row>
        <row r="110">
          <cell r="AW110" t="str">
            <v>.</v>
          </cell>
          <cell r="AX110" t="str">
            <v>.</v>
          </cell>
        </row>
        <row r="111">
          <cell r="AW111" t="str">
            <v>.</v>
          </cell>
          <cell r="AX111" t="str">
            <v>.</v>
          </cell>
        </row>
        <row r="112">
          <cell r="AW112" t="str">
            <v>.</v>
          </cell>
          <cell r="AX112" t="str">
            <v>.</v>
          </cell>
        </row>
        <row r="113">
          <cell r="AW113" t="str">
            <v>.</v>
          </cell>
          <cell r="AX113" t="str">
            <v>.</v>
          </cell>
        </row>
        <row r="114">
          <cell r="AW114" t="str">
            <v>.</v>
          </cell>
          <cell r="AX114" t="str">
            <v>.</v>
          </cell>
        </row>
        <row r="115">
          <cell r="AW115" t="str">
            <v>.</v>
          </cell>
          <cell r="AX115" t="str">
            <v>.</v>
          </cell>
        </row>
        <row r="116">
          <cell r="AW116" t="str">
            <v>.</v>
          </cell>
          <cell r="AX116" t="str">
            <v>.</v>
          </cell>
        </row>
        <row r="117">
          <cell r="AW117" t="str">
            <v>.</v>
          </cell>
          <cell r="AX117" t="str">
            <v>.</v>
          </cell>
        </row>
        <row r="118">
          <cell r="AW118" t="str">
            <v>.</v>
          </cell>
          <cell r="AX118" t="str">
            <v>.</v>
          </cell>
        </row>
        <row r="119">
          <cell r="AW119" t="str">
            <v>.</v>
          </cell>
          <cell r="AX119" t="str">
            <v>.</v>
          </cell>
        </row>
        <row r="120">
          <cell r="AW120" t="str">
            <v>.</v>
          </cell>
          <cell r="AX120" t="str">
            <v>.</v>
          </cell>
        </row>
        <row r="121">
          <cell r="AW121" t="str">
            <v>.</v>
          </cell>
          <cell r="AX121" t="str">
            <v>.</v>
          </cell>
        </row>
        <row r="122">
          <cell r="AW122" t="str">
            <v>.</v>
          </cell>
          <cell r="AX122" t="str">
            <v>.</v>
          </cell>
        </row>
        <row r="123">
          <cell r="AW123" t="str">
            <v>.</v>
          </cell>
          <cell r="AX123" t="str">
            <v>.</v>
          </cell>
        </row>
        <row r="124">
          <cell r="AW124" t="str">
            <v>.</v>
          </cell>
          <cell r="AX124" t="str">
            <v>.</v>
          </cell>
        </row>
        <row r="125">
          <cell r="AW125" t="str">
            <v>.</v>
          </cell>
          <cell r="AX125" t="str">
            <v>.</v>
          </cell>
        </row>
        <row r="126">
          <cell r="AW126" t="str">
            <v>.</v>
          </cell>
          <cell r="AX126" t="str">
            <v>.</v>
          </cell>
        </row>
        <row r="127">
          <cell r="AW127" t="str">
            <v>.</v>
          </cell>
          <cell r="AX127" t="str">
            <v>.</v>
          </cell>
        </row>
        <row r="128">
          <cell r="AW128" t="str">
            <v>.</v>
          </cell>
          <cell r="AX128" t="str">
            <v>.</v>
          </cell>
        </row>
        <row r="129">
          <cell r="AW129" t="str">
            <v>.</v>
          </cell>
          <cell r="AX129" t="str">
            <v>.</v>
          </cell>
        </row>
        <row r="130">
          <cell r="AW130" t="str">
            <v>.</v>
          </cell>
          <cell r="AX130" t="str">
            <v>.</v>
          </cell>
        </row>
        <row r="131">
          <cell r="AW131" t="str">
            <v>.</v>
          </cell>
          <cell r="AX131" t="str">
            <v>.</v>
          </cell>
        </row>
        <row r="132">
          <cell r="AW132" t="str">
            <v>.</v>
          </cell>
          <cell r="AX132" t="str">
            <v>.</v>
          </cell>
        </row>
        <row r="133">
          <cell r="AW133" t="str">
            <v>.</v>
          </cell>
          <cell r="AX133" t="str">
            <v>.</v>
          </cell>
        </row>
        <row r="134">
          <cell r="AW134" t="str">
            <v>.</v>
          </cell>
          <cell r="AX134" t="str">
            <v>.</v>
          </cell>
        </row>
        <row r="135">
          <cell r="AW135" t="str">
            <v>.</v>
          </cell>
          <cell r="AX135" t="str">
            <v>.</v>
          </cell>
        </row>
        <row r="136">
          <cell r="AW136" t="str">
            <v>.</v>
          </cell>
          <cell r="AX136" t="str">
            <v>.</v>
          </cell>
        </row>
        <row r="137">
          <cell r="AW137" t="str">
            <v>.</v>
          </cell>
          <cell r="AX137" t="str">
            <v>.</v>
          </cell>
        </row>
        <row r="138">
          <cell r="AW138" t="str">
            <v>.</v>
          </cell>
          <cell r="AX138" t="str">
            <v>.</v>
          </cell>
        </row>
        <row r="139">
          <cell r="AW139" t="str">
            <v>.</v>
          </cell>
          <cell r="AX139" t="str">
            <v>.</v>
          </cell>
        </row>
        <row r="140">
          <cell r="AW140" t="str">
            <v>.</v>
          </cell>
          <cell r="AX140" t="str">
            <v>.</v>
          </cell>
        </row>
        <row r="141">
          <cell r="AW141" t="str">
            <v>.</v>
          </cell>
          <cell r="AX141" t="str">
            <v>.</v>
          </cell>
        </row>
        <row r="142">
          <cell r="AW142" t="str">
            <v>.</v>
          </cell>
          <cell r="AX142" t="str">
            <v>.</v>
          </cell>
        </row>
        <row r="143">
          <cell r="AW143" t="str">
            <v>.</v>
          </cell>
          <cell r="AX143" t="str">
            <v>.</v>
          </cell>
        </row>
        <row r="144">
          <cell r="AW144" t="str">
            <v>.</v>
          </cell>
          <cell r="AX144" t="str">
            <v>.</v>
          </cell>
        </row>
        <row r="145">
          <cell r="AW145" t="str">
            <v>.</v>
          </cell>
          <cell r="AX145" t="str">
            <v>.</v>
          </cell>
        </row>
        <row r="146">
          <cell r="AW146" t="str">
            <v>.</v>
          </cell>
          <cell r="AX146" t="str">
            <v>.</v>
          </cell>
        </row>
        <row r="147">
          <cell r="AW147" t="str">
            <v>.</v>
          </cell>
          <cell r="AX147" t="str">
            <v>.</v>
          </cell>
        </row>
        <row r="148">
          <cell r="AW148" t="str">
            <v>.</v>
          </cell>
          <cell r="AX148" t="str">
            <v>.</v>
          </cell>
        </row>
        <row r="149">
          <cell r="AW149" t="str">
            <v>.</v>
          </cell>
          <cell r="AX149" t="str">
            <v>.</v>
          </cell>
        </row>
        <row r="150">
          <cell r="AW150" t="str">
            <v>.</v>
          </cell>
          <cell r="AX150" t="str">
            <v>.</v>
          </cell>
        </row>
        <row r="151">
          <cell r="AW151" t="str">
            <v>.</v>
          </cell>
          <cell r="AX151" t="str">
            <v>.</v>
          </cell>
        </row>
        <row r="152">
          <cell r="AW152" t="str">
            <v>.</v>
          </cell>
          <cell r="AX152" t="str">
            <v>.</v>
          </cell>
        </row>
        <row r="153">
          <cell r="AW153" t="str">
            <v>.</v>
          </cell>
          <cell r="AX153" t="str">
            <v>.</v>
          </cell>
        </row>
        <row r="154">
          <cell r="AW154" t="str">
            <v>.</v>
          </cell>
          <cell r="AX154" t="str">
            <v>.</v>
          </cell>
        </row>
        <row r="155">
          <cell r="AW155" t="str">
            <v>.</v>
          </cell>
          <cell r="AX155" t="str">
            <v>.</v>
          </cell>
        </row>
        <row r="156">
          <cell r="AW156" t="str">
            <v>.</v>
          </cell>
          <cell r="AX156" t="str">
            <v>.</v>
          </cell>
        </row>
        <row r="157">
          <cell r="AW157" t="str">
            <v>.</v>
          </cell>
          <cell r="AX157" t="str">
            <v>.</v>
          </cell>
        </row>
        <row r="158">
          <cell r="AW158" t="str">
            <v>.</v>
          </cell>
          <cell r="AX158" t="str">
            <v>.</v>
          </cell>
        </row>
        <row r="159">
          <cell r="AW159" t="str">
            <v>.</v>
          </cell>
          <cell r="AX159" t="str">
            <v>.</v>
          </cell>
        </row>
        <row r="160">
          <cell r="AW160" t="str">
            <v>.</v>
          </cell>
          <cell r="AX160" t="str">
            <v>.</v>
          </cell>
        </row>
        <row r="161">
          <cell r="AW161" t="str">
            <v>.</v>
          </cell>
          <cell r="AX161" t="str">
            <v>.</v>
          </cell>
        </row>
        <row r="162">
          <cell r="AW162" t="str">
            <v>.</v>
          </cell>
          <cell r="AX162" t="str">
            <v>.</v>
          </cell>
        </row>
        <row r="163">
          <cell r="AW163" t="str">
            <v>.</v>
          </cell>
          <cell r="AX163" t="str">
            <v>.</v>
          </cell>
        </row>
        <row r="164">
          <cell r="AW164" t="str">
            <v>.</v>
          </cell>
          <cell r="AX164" t="str">
            <v>.</v>
          </cell>
        </row>
        <row r="165">
          <cell r="AW165" t="str">
            <v>.</v>
          </cell>
          <cell r="AX165" t="str">
            <v>.</v>
          </cell>
        </row>
        <row r="166">
          <cell r="AW166" t="str">
            <v>.</v>
          </cell>
          <cell r="AX166" t="str">
            <v>.</v>
          </cell>
        </row>
        <row r="167">
          <cell r="AW167" t="str">
            <v>.</v>
          </cell>
          <cell r="AX167" t="str">
            <v>.</v>
          </cell>
        </row>
        <row r="168">
          <cell r="AW168" t="str">
            <v>.</v>
          </cell>
          <cell r="AX168" t="str">
            <v>.</v>
          </cell>
        </row>
        <row r="169">
          <cell r="AW169" t="str">
            <v>.</v>
          </cell>
          <cell r="AX169" t="str">
            <v>.</v>
          </cell>
        </row>
        <row r="170">
          <cell r="AW170" t="str">
            <v>.</v>
          </cell>
          <cell r="AX170" t="str">
            <v>.</v>
          </cell>
        </row>
        <row r="171">
          <cell r="AW171" t="str">
            <v>.</v>
          </cell>
          <cell r="AX171" t="str">
            <v>.</v>
          </cell>
        </row>
        <row r="172">
          <cell r="AW172" t="str">
            <v>.</v>
          </cell>
          <cell r="AX172" t="str">
            <v>.</v>
          </cell>
        </row>
        <row r="173">
          <cell r="AW173" t="str">
            <v>.</v>
          </cell>
          <cell r="AX173" t="str">
            <v>.</v>
          </cell>
        </row>
        <row r="174">
          <cell r="AW174" t="str">
            <v>.</v>
          </cell>
          <cell r="AX174" t="str">
            <v>.</v>
          </cell>
        </row>
        <row r="175">
          <cell r="AW175" t="str">
            <v>.</v>
          </cell>
          <cell r="AX175" t="str">
            <v>.</v>
          </cell>
        </row>
        <row r="176">
          <cell r="AW176" t="str">
            <v>.</v>
          </cell>
          <cell r="AX176" t="str">
            <v>.</v>
          </cell>
        </row>
        <row r="177">
          <cell r="AW177" t="str">
            <v>.</v>
          </cell>
          <cell r="AX177" t="str">
            <v>.</v>
          </cell>
        </row>
        <row r="178">
          <cell r="AW178" t="str">
            <v>.</v>
          </cell>
          <cell r="AX178" t="str">
            <v>.</v>
          </cell>
        </row>
        <row r="179">
          <cell r="AW179" t="str">
            <v>.</v>
          </cell>
          <cell r="AX179" t="str">
            <v>.</v>
          </cell>
        </row>
        <row r="180">
          <cell r="AW180" t="str">
            <v>.</v>
          </cell>
          <cell r="AX180" t="str">
            <v>.</v>
          </cell>
        </row>
        <row r="181">
          <cell r="AW181" t="str">
            <v>.</v>
          </cell>
          <cell r="AX181" t="str">
            <v>.</v>
          </cell>
        </row>
        <row r="182">
          <cell r="AW182" t="str">
            <v>.</v>
          </cell>
          <cell r="AX182" t="str">
            <v>.</v>
          </cell>
        </row>
        <row r="183">
          <cell r="AW183" t="str">
            <v>.</v>
          </cell>
          <cell r="AX183" t="str">
            <v>.</v>
          </cell>
        </row>
        <row r="184">
          <cell r="AW184" t="str">
            <v>.</v>
          </cell>
          <cell r="AX184" t="str">
            <v>.</v>
          </cell>
        </row>
        <row r="185">
          <cell r="AW185" t="str">
            <v>.</v>
          </cell>
          <cell r="AX185" t="str">
            <v>.</v>
          </cell>
        </row>
        <row r="186">
          <cell r="AW186" t="str">
            <v>.</v>
          </cell>
          <cell r="AX186" t="str">
            <v>.</v>
          </cell>
        </row>
        <row r="187">
          <cell r="AW187" t="str">
            <v>.</v>
          </cell>
          <cell r="AX187" t="str">
            <v>.</v>
          </cell>
        </row>
        <row r="188">
          <cell r="AW188" t="str">
            <v>.</v>
          </cell>
          <cell r="AX188" t="str">
            <v>.</v>
          </cell>
        </row>
        <row r="189">
          <cell r="AW189" t="str">
            <v>.</v>
          </cell>
          <cell r="AX189" t="str">
            <v>.</v>
          </cell>
        </row>
        <row r="190">
          <cell r="AW190" t="str">
            <v>.</v>
          </cell>
          <cell r="AX190" t="str">
            <v>.</v>
          </cell>
        </row>
        <row r="191">
          <cell r="AW191" t="str">
            <v>.</v>
          </cell>
          <cell r="AX191" t="str">
            <v>.</v>
          </cell>
        </row>
        <row r="192">
          <cell r="AW192" t="str">
            <v>.</v>
          </cell>
          <cell r="AX192" t="str">
            <v>.</v>
          </cell>
        </row>
        <row r="193">
          <cell r="AW193" t="str">
            <v>.</v>
          </cell>
          <cell r="AX193" t="str">
            <v>.</v>
          </cell>
        </row>
        <row r="194">
          <cell r="AW194" t="str">
            <v>.</v>
          </cell>
          <cell r="AX194" t="str">
            <v>.</v>
          </cell>
        </row>
        <row r="195">
          <cell r="AW195" t="str">
            <v>.</v>
          </cell>
          <cell r="AX195" t="str">
            <v>.</v>
          </cell>
        </row>
        <row r="196">
          <cell r="AW196" t="str">
            <v>.</v>
          </cell>
          <cell r="AX196" t="str">
            <v>.</v>
          </cell>
        </row>
        <row r="197">
          <cell r="AW197" t="str">
            <v>.</v>
          </cell>
          <cell r="AX197" t="str">
            <v>.</v>
          </cell>
        </row>
        <row r="198">
          <cell r="AW198" t="str">
            <v>.</v>
          </cell>
          <cell r="AX198" t="str">
            <v>.</v>
          </cell>
        </row>
        <row r="199">
          <cell r="AW199" t="str">
            <v>.</v>
          </cell>
          <cell r="AX199" t="str">
            <v>.</v>
          </cell>
        </row>
        <row r="200">
          <cell r="AW200" t="str">
            <v>.</v>
          </cell>
          <cell r="AX200" t="str">
            <v>.</v>
          </cell>
        </row>
        <row r="201">
          <cell r="AW201" t="str">
            <v>.</v>
          </cell>
          <cell r="AX201" t="str">
            <v>.</v>
          </cell>
        </row>
        <row r="202">
          <cell r="AW202" t="str">
            <v>.</v>
          </cell>
          <cell r="AX202" t="str">
            <v>.</v>
          </cell>
        </row>
        <row r="203">
          <cell r="AW203" t="str">
            <v>.</v>
          </cell>
          <cell r="AX203" t="str">
            <v>.</v>
          </cell>
        </row>
        <row r="204">
          <cell r="AW204" t="str">
            <v>.</v>
          </cell>
          <cell r="AX204" t="str">
            <v>.</v>
          </cell>
        </row>
        <row r="205">
          <cell r="AW205" t="str">
            <v>.</v>
          </cell>
          <cell r="AX205" t="str">
            <v>.</v>
          </cell>
        </row>
        <row r="206">
          <cell r="AW206" t="str">
            <v>.</v>
          </cell>
          <cell r="AX206" t="str">
            <v>.</v>
          </cell>
        </row>
        <row r="207">
          <cell r="AW207" t="str">
            <v>.</v>
          </cell>
          <cell r="AX207" t="str">
            <v>.</v>
          </cell>
        </row>
        <row r="208">
          <cell r="AW208" t="str">
            <v>.</v>
          </cell>
          <cell r="AX208" t="str">
            <v>.</v>
          </cell>
        </row>
        <row r="209">
          <cell r="AW209" t="str">
            <v>.</v>
          </cell>
          <cell r="AX209" t="str">
            <v>.</v>
          </cell>
        </row>
        <row r="210">
          <cell r="AW210" t="str">
            <v>.</v>
          </cell>
          <cell r="AX210" t="str">
            <v>.</v>
          </cell>
        </row>
        <row r="211">
          <cell r="AW211" t="str">
            <v>.</v>
          </cell>
          <cell r="AX211" t="str">
            <v>.</v>
          </cell>
        </row>
        <row r="212">
          <cell r="AW212" t="str">
            <v>.</v>
          </cell>
          <cell r="AX212" t="str">
            <v>.</v>
          </cell>
        </row>
        <row r="213">
          <cell r="AW213" t="str">
            <v>.</v>
          </cell>
          <cell r="AX213" t="str">
            <v>.</v>
          </cell>
        </row>
        <row r="214">
          <cell r="AW214" t="str">
            <v>.</v>
          </cell>
          <cell r="AX214" t="str">
            <v>.</v>
          </cell>
        </row>
        <row r="215">
          <cell r="AW215" t="str">
            <v>.</v>
          </cell>
          <cell r="AX215" t="str">
            <v>.</v>
          </cell>
        </row>
        <row r="216">
          <cell r="AW216" t="str">
            <v>.</v>
          </cell>
          <cell r="AX216" t="str">
            <v>.</v>
          </cell>
        </row>
        <row r="217">
          <cell r="AW217" t="str">
            <v>.</v>
          </cell>
          <cell r="AX217" t="str">
            <v>.</v>
          </cell>
        </row>
        <row r="218">
          <cell r="AW218" t="str">
            <v>.</v>
          </cell>
          <cell r="AX218" t="str">
            <v>.</v>
          </cell>
        </row>
        <row r="219">
          <cell r="AW219" t="str">
            <v>.</v>
          </cell>
          <cell r="AX219" t="str">
            <v>.</v>
          </cell>
        </row>
        <row r="220">
          <cell r="AW220" t="str">
            <v>.</v>
          </cell>
          <cell r="AX220" t="str">
            <v>.</v>
          </cell>
        </row>
        <row r="221">
          <cell r="AW221" t="str">
            <v>.</v>
          </cell>
          <cell r="AX221" t="str">
            <v>.</v>
          </cell>
        </row>
        <row r="222">
          <cell r="AW222" t="str">
            <v>.</v>
          </cell>
          <cell r="AX222" t="str">
            <v>.</v>
          </cell>
        </row>
        <row r="223">
          <cell r="AW223" t="str">
            <v>.</v>
          </cell>
          <cell r="AX223" t="str">
            <v>.</v>
          </cell>
        </row>
        <row r="224">
          <cell r="AW224" t="str">
            <v>.</v>
          </cell>
          <cell r="AX224" t="str">
            <v>.</v>
          </cell>
        </row>
        <row r="225">
          <cell r="AW225" t="str">
            <v>.</v>
          </cell>
          <cell r="AX225" t="str">
            <v>.</v>
          </cell>
        </row>
        <row r="226">
          <cell r="AW226" t="str">
            <v>.</v>
          </cell>
          <cell r="AX226" t="str">
            <v>.</v>
          </cell>
        </row>
        <row r="227">
          <cell r="AW227" t="str">
            <v>.</v>
          </cell>
          <cell r="AX227" t="str">
            <v>.</v>
          </cell>
        </row>
        <row r="228">
          <cell r="AW228" t="str">
            <v>.</v>
          </cell>
          <cell r="AX228" t="str">
            <v>.</v>
          </cell>
        </row>
        <row r="229">
          <cell r="AW229" t="str">
            <v>.</v>
          </cell>
          <cell r="AX229" t="str">
            <v>.</v>
          </cell>
        </row>
        <row r="230">
          <cell r="AW230" t="str">
            <v>.</v>
          </cell>
          <cell r="AX230" t="str">
            <v>.</v>
          </cell>
        </row>
        <row r="231">
          <cell r="AW231" t="str">
            <v>.</v>
          </cell>
          <cell r="AX231" t="str">
            <v>.</v>
          </cell>
        </row>
        <row r="232">
          <cell r="AW232" t="str">
            <v>.</v>
          </cell>
          <cell r="AX232" t="str">
            <v>.</v>
          </cell>
        </row>
        <row r="233">
          <cell r="AW233" t="str">
            <v>.</v>
          </cell>
          <cell r="AX233" t="str">
            <v>.</v>
          </cell>
        </row>
        <row r="234">
          <cell r="AW234" t="str">
            <v>.</v>
          </cell>
          <cell r="AX234" t="str">
            <v>.</v>
          </cell>
        </row>
        <row r="235">
          <cell r="AW235" t="str">
            <v>.</v>
          </cell>
          <cell r="AX235" t="str">
            <v>.</v>
          </cell>
        </row>
        <row r="236">
          <cell r="AW236" t="str">
            <v>.</v>
          </cell>
          <cell r="AX236" t="str">
            <v>.</v>
          </cell>
        </row>
        <row r="237">
          <cell r="AW237" t="str">
            <v>.</v>
          </cell>
          <cell r="AX237" t="str">
            <v>.</v>
          </cell>
        </row>
        <row r="238">
          <cell r="AW238" t="str">
            <v>.</v>
          </cell>
          <cell r="AX238" t="str">
            <v>.</v>
          </cell>
        </row>
        <row r="239">
          <cell r="AW239" t="str">
            <v>.</v>
          </cell>
          <cell r="AX239" t="str">
            <v>.</v>
          </cell>
        </row>
        <row r="240">
          <cell r="AW240" t="str">
            <v>.</v>
          </cell>
          <cell r="AX240" t="str">
            <v>.</v>
          </cell>
        </row>
        <row r="241">
          <cell r="AW241" t="str">
            <v>.</v>
          </cell>
          <cell r="AX241" t="str">
            <v>.</v>
          </cell>
        </row>
        <row r="242">
          <cell r="AW242" t="str">
            <v>.</v>
          </cell>
          <cell r="AX242" t="str">
            <v>.</v>
          </cell>
        </row>
        <row r="243">
          <cell r="AW243" t="str">
            <v>.</v>
          </cell>
          <cell r="AX243" t="str">
            <v>.</v>
          </cell>
        </row>
        <row r="244">
          <cell r="AW244" t="str">
            <v>.</v>
          </cell>
          <cell r="AX244" t="str">
            <v>.</v>
          </cell>
        </row>
        <row r="245">
          <cell r="AW245" t="str">
            <v>.</v>
          </cell>
          <cell r="AX245" t="str">
            <v>.</v>
          </cell>
        </row>
        <row r="246">
          <cell r="AW246" t="str">
            <v>.</v>
          </cell>
          <cell r="AX246" t="str">
            <v>.</v>
          </cell>
        </row>
        <row r="247">
          <cell r="AW247" t="str">
            <v>.</v>
          </cell>
          <cell r="AX247" t="str">
            <v>.</v>
          </cell>
        </row>
        <row r="248">
          <cell r="AW248" t="str">
            <v>.</v>
          </cell>
          <cell r="AX248" t="str">
            <v>.</v>
          </cell>
        </row>
        <row r="249">
          <cell r="AW249" t="str">
            <v>.</v>
          </cell>
          <cell r="AX249" t="str">
            <v>.</v>
          </cell>
        </row>
        <row r="250">
          <cell r="AW250" t="str">
            <v>.</v>
          </cell>
          <cell r="AX250" t="str">
            <v>.</v>
          </cell>
        </row>
        <row r="251">
          <cell r="AW251" t="str">
            <v>.</v>
          </cell>
          <cell r="AX251" t="str">
            <v>.</v>
          </cell>
        </row>
        <row r="252">
          <cell r="AW252" t="str">
            <v>.</v>
          </cell>
          <cell r="AX252" t="str">
            <v>.</v>
          </cell>
        </row>
        <row r="253">
          <cell r="AW253" t="str">
            <v>.</v>
          </cell>
          <cell r="AX253" t="str">
            <v>.</v>
          </cell>
        </row>
        <row r="254">
          <cell r="AW254" t="str">
            <v>.</v>
          </cell>
          <cell r="AX254" t="str">
            <v>.</v>
          </cell>
        </row>
        <row r="255">
          <cell r="AW255" t="str">
            <v>.</v>
          </cell>
          <cell r="AX255" t="str">
            <v>.</v>
          </cell>
        </row>
        <row r="256">
          <cell r="AW256" t="str">
            <v>.</v>
          </cell>
          <cell r="AX256" t="str">
            <v>.</v>
          </cell>
        </row>
        <row r="257">
          <cell r="AW257" t="str">
            <v>.</v>
          </cell>
          <cell r="AX257" t="str">
            <v>.</v>
          </cell>
        </row>
        <row r="258">
          <cell r="AW258" t="str">
            <v>.</v>
          </cell>
          <cell r="AX258" t="str">
            <v>.</v>
          </cell>
        </row>
        <row r="259">
          <cell r="AW259" t="str">
            <v>.</v>
          </cell>
          <cell r="AX259" t="str">
            <v>.</v>
          </cell>
        </row>
        <row r="260">
          <cell r="AW260" t="str">
            <v>.</v>
          </cell>
          <cell r="AX260" t="str">
            <v>.</v>
          </cell>
        </row>
        <row r="261">
          <cell r="AW261" t="str">
            <v>.</v>
          </cell>
          <cell r="AX261" t="str">
            <v>.</v>
          </cell>
        </row>
        <row r="262">
          <cell r="AW262" t="str">
            <v>.</v>
          </cell>
          <cell r="AX262" t="str">
            <v>.</v>
          </cell>
        </row>
        <row r="263">
          <cell r="AW263" t="str">
            <v>.</v>
          </cell>
          <cell r="AX263" t="str">
            <v>.</v>
          </cell>
        </row>
        <row r="264">
          <cell r="AW264" t="str">
            <v>.</v>
          </cell>
          <cell r="AX264" t="str">
            <v>.</v>
          </cell>
        </row>
        <row r="265">
          <cell r="AW265" t="str">
            <v>.</v>
          </cell>
          <cell r="AX265" t="str">
            <v>.</v>
          </cell>
        </row>
        <row r="266">
          <cell r="AW266" t="str">
            <v>.</v>
          </cell>
          <cell r="AX266" t="str">
            <v>.</v>
          </cell>
        </row>
        <row r="267">
          <cell r="AW267" t="str">
            <v>.</v>
          </cell>
          <cell r="AX267" t="str">
            <v>.</v>
          </cell>
        </row>
        <row r="268">
          <cell r="AW268" t="str">
            <v>.</v>
          </cell>
          <cell r="AX268" t="str">
            <v>.</v>
          </cell>
        </row>
        <row r="269">
          <cell r="AW269" t="str">
            <v>.</v>
          </cell>
          <cell r="AX269" t="str">
            <v>.</v>
          </cell>
        </row>
        <row r="270">
          <cell r="AW270" t="str">
            <v>.</v>
          </cell>
          <cell r="AX270" t="str">
            <v>.</v>
          </cell>
        </row>
        <row r="271">
          <cell r="AW271" t="str">
            <v>.</v>
          </cell>
          <cell r="AX271" t="str">
            <v>.</v>
          </cell>
        </row>
        <row r="272">
          <cell r="AW272" t="str">
            <v>.</v>
          </cell>
          <cell r="AX272" t="str">
            <v>.</v>
          </cell>
        </row>
        <row r="273">
          <cell r="AW273" t="str">
            <v>.</v>
          </cell>
          <cell r="AX273" t="str">
            <v>.</v>
          </cell>
        </row>
        <row r="274">
          <cell r="AW274" t="str">
            <v>.</v>
          </cell>
          <cell r="AX274" t="str">
            <v>.</v>
          </cell>
        </row>
        <row r="275">
          <cell r="AW275" t="str">
            <v>.</v>
          </cell>
          <cell r="AX275" t="str">
            <v>.</v>
          </cell>
        </row>
        <row r="276">
          <cell r="AW276" t="str">
            <v>.</v>
          </cell>
          <cell r="AX276" t="str">
            <v>.</v>
          </cell>
        </row>
        <row r="277">
          <cell r="AW277" t="str">
            <v>.</v>
          </cell>
          <cell r="AX277" t="str">
            <v>.</v>
          </cell>
        </row>
        <row r="278">
          <cell r="AW278" t="str">
            <v>.</v>
          </cell>
          <cell r="AX278" t="str">
            <v>.</v>
          </cell>
        </row>
        <row r="279">
          <cell r="AW279" t="str">
            <v>.</v>
          </cell>
          <cell r="AX279" t="str">
            <v>.</v>
          </cell>
        </row>
        <row r="280">
          <cell r="AW280" t="str">
            <v>.</v>
          </cell>
          <cell r="AX280" t="str">
            <v>.</v>
          </cell>
        </row>
        <row r="281">
          <cell r="AW281" t="str">
            <v>.</v>
          </cell>
          <cell r="AX281" t="str">
            <v>.</v>
          </cell>
        </row>
        <row r="282">
          <cell r="AW282" t="str">
            <v>.</v>
          </cell>
          <cell r="AX282" t="str">
            <v>.</v>
          </cell>
        </row>
        <row r="283">
          <cell r="AW283" t="str">
            <v>.</v>
          </cell>
          <cell r="AX283" t="str">
            <v>.</v>
          </cell>
        </row>
        <row r="284">
          <cell r="AW284" t="str">
            <v>.</v>
          </cell>
          <cell r="AX284" t="str">
            <v>.</v>
          </cell>
        </row>
        <row r="285">
          <cell r="AW285" t="str">
            <v>.</v>
          </cell>
          <cell r="AX285" t="str">
            <v>.</v>
          </cell>
        </row>
        <row r="286">
          <cell r="AW286" t="str">
            <v>.</v>
          </cell>
          <cell r="AX286" t="str">
            <v>.</v>
          </cell>
        </row>
        <row r="287">
          <cell r="AW287" t="str">
            <v>.</v>
          </cell>
          <cell r="AX287" t="str">
            <v>.</v>
          </cell>
        </row>
        <row r="288">
          <cell r="AW288" t="str">
            <v>.</v>
          </cell>
          <cell r="AX288" t="str">
            <v>.</v>
          </cell>
        </row>
        <row r="289">
          <cell r="AW289" t="str">
            <v>.</v>
          </cell>
          <cell r="AX289" t="str">
            <v>.</v>
          </cell>
        </row>
        <row r="290">
          <cell r="AW290" t="str">
            <v>.</v>
          </cell>
          <cell r="AX290" t="str">
            <v>.</v>
          </cell>
        </row>
        <row r="291">
          <cell r="AW291" t="str">
            <v>.</v>
          </cell>
          <cell r="AX291" t="str">
            <v>.</v>
          </cell>
        </row>
        <row r="292">
          <cell r="AW292" t="str">
            <v>.</v>
          </cell>
          <cell r="AX292" t="str">
            <v>.</v>
          </cell>
        </row>
        <row r="293">
          <cell r="AW293" t="str">
            <v>.</v>
          </cell>
          <cell r="AX293" t="str">
            <v>.</v>
          </cell>
        </row>
        <row r="294">
          <cell r="AW294" t="str">
            <v>.</v>
          </cell>
          <cell r="AX294" t="str">
            <v>.</v>
          </cell>
        </row>
        <row r="295">
          <cell r="AW295" t="str">
            <v>.</v>
          </cell>
          <cell r="AX295" t="str">
            <v>.</v>
          </cell>
        </row>
        <row r="296">
          <cell r="AW296" t="str">
            <v>.</v>
          </cell>
          <cell r="AX296" t="str">
            <v>.</v>
          </cell>
        </row>
        <row r="297">
          <cell r="AW297" t="str">
            <v>.</v>
          </cell>
          <cell r="AX297" t="str">
            <v>.</v>
          </cell>
        </row>
        <row r="298">
          <cell r="AW298" t="str">
            <v>.</v>
          </cell>
          <cell r="AX298" t="str">
            <v>.</v>
          </cell>
        </row>
        <row r="299">
          <cell r="AW299" t="str">
            <v>.</v>
          </cell>
          <cell r="AX299" t="str">
            <v>.</v>
          </cell>
        </row>
        <row r="300">
          <cell r="AW300" t="str">
            <v>.</v>
          </cell>
          <cell r="AX300" t="str">
            <v>.</v>
          </cell>
        </row>
        <row r="301">
          <cell r="AW301" t="str">
            <v>.</v>
          </cell>
          <cell r="AX301" t="str">
            <v>.</v>
          </cell>
        </row>
        <row r="302">
          <cell r="AW302" t="str">
            <v>.</v>
          </cell>
          <cell r="AX302" t="str">
            <v>.</v>
          </cell>
        </row>
        <row r="303">
          <cell r="AW303" t="str">
            <v>.</v>
          </cell>
          <cell r="AX303" t="str">
            <v>.</v>
          </cell>
        </row>
        <row r="304">
          <cell r="AW304" t="str">
            <v>.</v>
          </cell>
          <cell r="AX304" t="str">
            <v>.</v>
          </cell>
        </row>
        <row r="305">
          <cell r="AW305" t="str">
            <v>.</v>
          </cell>
          <cell r="AX305" t="str">
            <v>.</v>
          </cell>
        </row>
        <row r="306">
          <cell r="AW306" t="str">
            <v>.</v>
          </cell>
          <cell r="AX306" t="str">
            <v>.</v>
          </cell>
        </row>
        <row r="307">
          <cell r="AW307" t="str">
            <v>.</v>
          </cell>
          <cell r="AX307" t="str">
            <v>.</v>
          </cell>
        </row>
        <row r="308">
          <cell r="AW308" t="str">
            <v>.</v>
          </cell>
          <cell r="AX308" t="str">
            <v>.</v>
          </cell>
        </row>
        <row r="309">
          <cell r="AW309" t="str">
            <v>.</v>
          </cell>
          <cell r="AX309" t="str">
            <v>.</v>
          </cell>
        </row>
        <row r="310">
          <cell r="AW310" t="str">
            <v>.</v>
          </cell>
          <cell r="AX310" t="str">
            <v>.</v>
          </cell>
        </row>
        <row r="311">
          <cell r="AW311" t="str">
            <v>.</v>
          </cell>
          <cell r="AX311" t="str">
            <v>.</v>
          </cell>
        </row>
        <row r="312">
          <cell r="AW312" t="str">
            <v>.</v>
          </cell>
          <cell r="AX312" t="str">
            <v>.</v>
          </cell>
        </row>
        <row r="313">
          <cell r="AW313" t="str">
            <v>.</v>
          </cell>
          <cell r="AX313" t="str">
            <v>.</v>
          </cell>
        </row>
        <row r="314">
          <cell r="AW314" t="str">
            <v>.</v>
          </cell>
          <cell r="AX314" t="str">
            <v>.</v>
          </cell>
        </row>
        <row r="315">
          <cell r="AW315" t="str">
            <v>.</v>
          </cell>
          <cell r="AX315" t="str">
            <v>.</v>
          </cell>
        </row>
        <row r="316">
          <cell r="AW316" t="str">
            <v>.</v>
          </cell>
          <cell r="AX316" t="str">
            <v>.</v>
          </cell>
        </row>
        <row r="317">
          <cell r="AW317" t="str">
            <v>.</v>
          </cell>
          <cell r="AX317" t="str">
            <v>.</v>
          </cell>
        </row>
        <row r="318">
          <cell r="AW318" t="str">
            <v>.</v>
          </cell>
          <cell r="AX318" t="str">
            <v>.</v>
          </cell>
        </row>
        <row r="319">
          <cell r="AW319" t="str">
            <v>.</v>
          </cell>
          <cell r="AX319" t="str">
            <v>.</v>
          </cell>
        </row>
        <row r="320">
          <cell r="AW320" t="str">
            <v>.</v>
          </cell>
          <cell r="AX320" t="str">
            <v>.</v>
          </cell>
        </row>
        <row r="321">
          <cell r="AW321" t="str">
            <v>.</v>
          </cell>
          <cell r="AX321" t="str">
            <v>.</v>
          </cell>
        </row>
        <row r="322">
          <cell r="AW322" t="str">
            <v>.</v>
          </cell>
          <cell r="AX322" t="str">
            <v>.</v>
          </cell>
        </row>
        <row r="323">
          <cell r="AW323" t="str">
            <v>.</v>
          </cell>
          <cell r="AX323" t="str">
            <v>.</v>
          </cell>
        </row>
        <row r="324">
          <cell r="AW324" t="str">
            <v>.</v>
          </cell>
          <cell r="AX324" t="str">
            <v>.</v>
          </cell>
        </row>
        <row r="325">
          <cell r="AW325" t="str">
            <v>.</v>
          </cell>
          <cell r="AX325" t="str">
            <v>.</v>
          </cell>
        </row>
        <row r="326">
          <cell r="AW326" t="str">
            <v>.</v>
          </cell>
          <cell r="AX326" t="str">
            <v>.</v>
          </cell>
        </row>
        <row r="327">
          <cell r="AW327" t="str">
            <v>.</v>
          </cell>
          <cell r="AX327" t="str">
            <v>.</v>
          </cell>
        </row>
        <row r="328">
          <cell r="AW328" t="str">
            <v>.</v>
          </cell>
          <cell r="AX328" t="str">
            <v>.</v>
          </cell>
        </row>
        <row r="329">
          <cell r="AW329" t="str">
            <v>.</v>
          </cell>
          <cell r="AX329" t="str">
            <v>.</v>
          </cell>
        </row>
        <row r="330">
          <cell r="AW330" t="str">
            <v>.</v>
          </cell>
          <cell r="AX330" t="str">
            <v>.</v>
          </cell>
        </row>
        <row r="331">
          <cell r="AW331" t="str">
            <v>.</v>
          </cell>
          <cell r="AX331" t="str">
            <v>.</v>
          </cell>
        </row>
        <row r="332">
          <cell r="AW332" t="str">
            <v>.</v>
          </cell>
          <cell r="AX332" t="str">
            <v>.</v>
          </cell>
        </row>
        <row r="333">
          <cell r="AW333" t="str">
            <v>.</v>
          </cell>
          <cell r="AX333" t="str">
            <v>.</v>
          </cell>
        </row>
        <row r="334">
          <cell r="AW334" t="str">
            <v>.</v>
          </cell>
          <cell r="AX334" t="str">
            <v>.</v>
          </cell>
        </row>
        <row r="335">
          <cell r="AW335" t="str">
            <v>.</v>
          </cell>
          <cell r="AX335" t="str">
            <v>.</v>
          </cell>
        </row>
        <row r="336">
          <cell r="AW336" t="str">
            <v>.</v>
          </cell>
          <cell r="AX336" t="str">
            <v>.</v>
          </cell>
        </row>
        <row r="337">
          <cell r="AW337" t="str">
            <v>.</v>
          </cell>
          <cell r="AX337" t="str">
            <v>.</v>
          </cell>
        </row>
        <row r="338">
          <cell r="AW338" t="str">
            <v>.</v>
          </cell>
          <cell r="AX338" t="str">
            <v>.</v>
          </cell>
        </row>
        <row r="339">
          <cell r="AW339" t="str">
            <v>.</v>
          </cell>
          <cell r="AX339" t="str">
            <v>.</v>
          </cell>
        </row>
        <row r="340">
          <cell r="AW340" t="str">
            <v>.</v>
          </cell>
          <cell r="AX340" t="str">
            <v>.</v>
          </cell>
        </row>
        <row r="341">
          <cell r="AW341" t="str">
            <v>.</v>
          </cell>
          <cell r="AX341" t="str">
            <v>.</v>
          </cell>
        </row>
        <row r="342">
          <cell r="AW342" t="str">
            <v>.</v>
          </cell>
          <cell r="AX342" t="str">
            <v>.</v>
          </cell>
        </row>
        <row r="343">
          <cell r="AW343" t="str">
            <v>.</v>
          </cell>
          <cell r="AX343" t="str">
            <v>.</v>
          </cell>
        </row>
        <row r="344">
          <cell r="AW344" t="str">
            <v>.</v>
          </cell>
          <cell r="AX344" t="str">
            <v>.</v>
          </cell>
        </row>
        <row r="345">
          <cell r="AW345" t="str">
            <v>.</v>
          </cell>
          <cell r="AX345" t="str">
            <v>.</v>
          </cell>
        </row>
        <row r="346">
          <cell r="AW346" t="str">
            <v>.</v>
          </cell>
          <cell r="AX346" t="str">
            <v>.</v>
          </cell>
        </row>
        <row r="347">
          <cell r="AW347" t="str">
            <v>.</v>
          </cell>
          <cell r="AX347" t="str">
            <v>.</v>
          </cell>
        </row>
        <row r="348">
          <cell r="AW348" t="str">
            <v>.</v>
          </cell>
          <cell r="AX348" t="str">
            <v>.</v>
          </cell>
        </row>
        <row r="349">
          <cell r="AW349" t="str">
            <v>.</v>
          </cell>
          <cell r="AX349" t="str">
            <v>.</v>
          </cell>
        </row>
        <row r="350">
          <cell r="AW350" t="str">
            <v>.</v>
          </cell>
          <cell r="AX350" t="str">
            <v>.</v>
          </cell>
        </row>
        <row r="351">
          <cell r="AW351" t="str">
            <v>.</v>
          </cell>
          <cell r="AX351" t="str">
            <v>.</v>
          </cell>
        </row>
        <row r="352">
          <cell r="AW352" t="str">
            <v>.</v>
          </cell>
          <cell r="AX352" t="str">
            <v>.</v>
          </cell>
        </row>
        <row r="353">
          <cell r="AW353" t="str">
            <v>.</v>
          </cell>
          <cell r="AX353" t="str">
            <v>.</v>
          </cell>
        </row>
        <row r="354">
          <cell r="AW354" t="str">
            <v>.</v>
          </cell>
          <cell r="AX354" t="str">
            <v>.</v>
          </cell>
        </row>
        <row r="355">
          <cell r="AW355" t="str">
            <v>.</v>
          </cell>
          <cell r="AX355" t="str">
            <v>.</v>
          </cell>
        </row>
        <row r="356">
          <cell r="AW356" t="str">
            <v>.</v>
          </cell>
          <cell r="AX356" t="str">
            <v>.</v>
          </cell>
        </row>
        <row r="357">
          <cell r="AW357" t="str">
            <v>.</v>
          </cell>
          <cell r="AX357" t="str">
            <v>.</v>
          </cell>
        </row>
        <row r="358">
          <cell r="AW358" t="str">
            <v>.</v>
          </cell>
          <cell r="AX358" t="str">
            <v>.</v>
          </cell>
        </row>
        <row r="359">
          <cell r="AW359" t="str">
            <v>.</v>
          </cell>
          <cell r="AX359" t="str">
            <v>.</v>
          </cell>
        </row>
        <row r="360">
          <cell r="AW360" t="str">
            <v>.</v>
          </cell>
          <cell r="AX360" t="str">
            <v>.</v>
          </cell>
        </row>
        <row r="361">
          <cell r="AW361" t="str">
            <v>.</v>
          </cell>
          <cell r="AX361" t="str">
            <v>.</v>
          </cell>
        </row>
        <row r="362">
          <cell r="AW362" t="str">
            <v>.</v>
          </cell>
          <cell r="AX362" t="str">
            <v>.</v>
          </cell>
        </row>
        <row r="363">
          <cell r="AW363" t="str">
            <v>.</v>
          </cell>
          <cell r="AX363" t="str">
            <v>.</v>
          </cell>
        </row>
        <row r="364">
          <cell r="AW364" t="str">
            <v>.</v>
          </cell>
          <cell r="AX364" t="str">
            <v>.</v>
          </cell>
        </row>
        <row r="365">
          <cell r="AW365" t="str">
            <v>.</v>
          </cell>
          <cell r="AX365" t="str">
            <v>.</v>
          </cell>
        </row>
        <row r="366">
          <cell r="AW366" t="str">
            <v>.</v>
          </cell>
          <cell r="AX366" t="str">
            <v>.</v>
          </cell>
        </row>
        <row r="367">
          <cell r="AW367" t="str">
            <v>.</v>
          </cell>
          <cell r="AX367" t="str">
            <v>.</v>
          </cell>
        </row>
        <row r="368">
          <cell r="AW368" t="str">
            <v>.</v>
          </cell>
          <cell r="AX368" t="str">
            <v>.</v>
          </cell>
        </row>
        <row r="369">
          <cell r="AW369" t="str">
            <v>.</v>
          </cell>
          <cell r="AX369" t="str">
            <v>.</v>
          </cell>
        </row>
        <row r="370">
          <cell r="AW370" t="str">
            <v>.</v>
          </cell>
          <cell r="AX370" t="str">
            <v>.</v>
          </cell>
        </row>
        <row r="371">
          <cell r="AW371" t="str">
            <v>.</v>
          </cell>
          <cell r="AX371" t="str">
            <v>.</v>
          </cell>
        </row>
        <row r="372">
          <cell r="AW372" t="str">
            <v>.</v>
          </cell>
          <cell r="AX372" t="str">
            <v>.</v>
          </cell>
        </row>
        <row r="373">
          <cell r="AW373" t="str">
            <v>.</v>
          </cell>
          <cell r="AX373" t="str">
            <v>.</v>
          </cell>
        </row>
        <row r="374">
          <cell r="AW374" t="str">
            <v>.</v>
          </cell>
          <cell r="AX374" t="str">
            <v>.</v>
          </cell>
        </row>
        <row r="375">
          <cell r="AW375" t="str">
            <v>.</v>
          </cell>
          <cell r="AX375" t="str">
            <v>.</v>
          </cell>
        </row>
        <row r="376">
          <cell r="AW376" t="str">
            <v>.</v>
          </cell>
          <cell r="AX376" t="str">
            <v>.</v>
          </cell>
        </row>
        <row r="377">
          <cell r="AW377" t="str">
            <v>.</v>
          </cell>
          <cell r="AX377" t="str">
            <v>.</v>
          </cell>
        </row>
        <row r="378">
          <cell r="AW378" t="str">
            <v>.</v>
          </cell>
          <cell r="AX378" t="str">
            <v>.</v>
          </cell>
        </row>
        <row r="379">
          <cell r="AW379" t="str">
            <v>.</v>
          </cell>
          <cell r="AX379" t="str">
            <v>.</v>
          </cell>
        </row>
        <row r="380">
          <cell r="AW380" t="str">
            <v>.</v>
          </cell>
          <cell r="AX380" t="str">
            <v>.</v>
          </cell>
        </row>
        <row r="381">
          <cell r="AW381" t="str">
            <v>.</v>
          </cell>
          <cell r="AX381" t="str">
            <v>.</v>
          </cell>
        </row>
        <row r="382">
          <cell r="AW382" t="str">
            <v>.</v>
          </cell>
          <cell r="AX382" t="str">
            <v>.</v>
          </cell>
        </row>
        <row r="383">
          <cell r="AW383" t="str">
            <v>.</v>
          </cell>
          <cell r="AX383" t="str">
            <v>.</v>
          </cell>
        </row>
        <row r="384">
          <cell r="AW384" t="str">
            <v>.</v>
          </cell>
          <cell r="AX384" t="str">
            <v>.</v>
          </cell>
        </row>
        <row r="385">
          <cell r="AW385" t="str">
            <v>.</v>
          </cell>
          <cell r="AX385" t="str">
            <v>.</v>
          </cell>
        </row>
        <row r="386">
          <cell r="AW386" t="str">
            <v>.</v>
          </cell>
          <cell r="AX386" t="str">
            <v>.</v>
          </cell>
        </row>
        <row r="387">
          <cell r="AW387" t="str">
            <v>.</v>
          </cell>
          <cell r="AX387" t="str">
            <v>.</v>
          </cell>
        </row>
        <row r="388">
          <cell r="AW388" t="str">
            <v>.</v>
          </cell>
          <cell r="AX388" t="str">
            <v>.</v>
          </cell>
        </row>
        <row r="389">
          <cell r="AW389" t="str">
            <v>.</v>
          </cell>
          <cell r="AX389" t="str">
            <v>.</v>
          </cell>
        </row>
        <row r="390">
          <cell r="AW390" t="str">
            <v>.</v>
          </cell>
          <cell r="AX390" t="str">
            <v>.</v>
          </cell>
        </row>
        <row r="391">
          <cell r="AW391" t="str">
            <v>.</v>
          </cell>
          <cell r="AX391" t="str">
            <v>.</v>
          </cell>
        </row>
        <row r="392">
          <cell r="AW392" t="str">
            <v>.</v>
          </cell>
          <cell r="AX392" t="str">
            <v>.</v>
          </cell>
        </row>
        <row r="393">
          <cell r="AW393" t="str">
            <v>.</v>
          </cell>
          <cell r="AX393" t="str">
            <v>.</v>
          </cell>
        </row>
        <row r="394">
          <cell r="AW394" t="str">
            <v>.</v>
          </cell>
          <cell r="AX394" t="str">
            <v>.</v>
          </cell>
        </row>
        <row r="395">
          <cell r="AW395" t="str">
            <v>.</v>
          </cell>
          <cell r="AX395" t="str">
            <v>.</v>
          </cell>
        </row>
        <row r="396">
          <cell r="AW396" t="str">
            <v>.</v>
          </cell>
          <cell r="AX396" t="str">
            <v>.</v>
          </cell>
        </row>
        <row r="397">
          <cell r="AW397" t="str">
            <v>.</v>
          </cell>
          <cell r="AX397" t="str">
            <v>.</v>
          </cell>
        </row>
        <row r="398">
          <cell r="AW398" t="str">
            <v>.</v>
          </cell>
          <cell r="AX398" t="str">
            <v>.</v>
          </cell>
        </row>
        <row r="399">
          <cell r="AW399" t="str">
            <v>.</v>
          </cell>
          <cell r="AX399" t="str">
            <v>.</v>
          </cell>
        </row>
        <row r="400">
          <cell r="AW400" t="str">
            <v>.</v>
          </cell>
          <cell r="AX400" t="str">
            <v>.</v>
          </cell>
        </row>
        <row r="401">
          <cell r="AW401" t="str">
            <v>.</v>
          </cell>
          <cell r="AX401" t="str">
            <v>.</v>
          </cell>
        </row>
        <row r="402">
          <cell r="AW402" t="str">
            <v>.</v>
          </cell>
          <cell r="AX402" t="str">
            <v>.</v>
          </cell>
        </row>
        <row r="403">
          <cell r="AW403" t="str">
            <v>.</v>
          </cell>
          <cell r="AX403" t="str">
            <v>.</v>
          </cell>
        </row>
        <row r="404">
          <cell r="AW404" t="str">
            <v>.</v>
          </cell>
          <cell r="AX404" t="str">
            <v>.</v>
          </cell>
        </row>
        <row r="405">
          <cell r="AW405" t="str">
            <v>.</v>
          </cell>
          <cell r="AX405" t="str">
            <v>.</v>
          </cell>
        </row>
        <row r="406">
          <cell r="AW406" t="str">
            <v>.</v>
          </cell>
          <cell r="AX406" t="str">
            <v>.</v>
          </cell>
        </row>
        <row r="407">
          <cell r="AW407" t="str">
            <v>.</v>
          </cell>
          <cell r="AX407" t="str">
            <v>.</v>
          </cell>
        </row>
        <row r="408">
          <cell r="AW408" t="str">
            <v>.</v>
          </cell>
          <cell r="AX408" t="str">
            <v>.</v>
          </cell>
        </row>
        <row r="409">
          <cell r="AW409" t="str">
            <v>.</v>
          </cell>
          <cell r="AX409" t="str">
            <v>.</v>
          </cell>
        </row>
        <row r="410">
          <cell r="AW410" t="str">
            <v>.</v>
          </cell>
          <cell r="AX410" t="str">
            <v>.</v>
          </cell>
        </row>
        <row r="411">
          <cell r="AW411" t="str">
            <v>.</v>
          </cell>
          <cell r="AX411" t="str">
            <v>.</v>
          </cell>
        </row>
        <row r="412">
          <cell r="AW412" t="str">
            <v>.</v>
          </cell>
          <cell r="AX412" t="str">
            <v>.</v>
          </cell>
        </row>
        <row r="413">
          <cell r="AW413" t="str">
            <v>.</v>
          </cell>
          <cell r="AX413" t="str">
            <v>.</v>
          </cell>
        </row>
        <row r="414">
          <cell r="AW414" t="str">
            <v>.</v>
          </cell>
          <cell r="AX414" t="str">
            <v>.</v>
          </cell>
        </row>
        <row r="415">
          <cell r="AW415" t="str">
            <v>.</v>
          </cell>
          <cell r="AX415" t="str">
            <v>.</v>
          </cell>
        </row>
        <row r="416">
          <cell r="AW416" t="str">
            <v>.</v>
          </cell>
          <cell r="AX416" t="str">
            <v>.</v>
          </cell>
        </row>
        <row r="417">
          <cell r="AW417" t="str">
            <v>.</v>
          </cell>
          <cell r="AX417" t="str">
            <v>.</v>
          </cell>
        </row>
        <row r="418">
          <cell r="AW418" t="str">
            <v>.</v>
          </cell>
          <cell r="AX418" t="str">
            <v>.</v>
          </cell>
        </row>
        <row r="419">
          <cell r="AW419" t="str">
            <v>.</v>
          </cell>
          <cell r="AX419" t="str">
            <v>.</v>
          </cell>
        </row>
        <row r="420">
          <cell r="AW420" t="str">
            <v>.</v>
          </cell>
          <cell r="AX420" t="str">
            <v>.</v>
          </cell>
        </row>
        <row r="421">
          <cell r="AW421" t="str">
            <v>.</v>
          </cell>
          <cell r="AX421" t="str">
            <v>.</v>
          </cell>
        </row>
        <row r="422">
          <cell r="AW422" t="str">
            <v>.</v>
          </cell>
          <cell r="AX422" t="str">
            <v>.</v>
          </cell>
        </row>
        <row r="423">
          <cell r="AW423" t="str">
            <v>.</v>
          </cell>
          <cell r="AX423" t="str">
            <v>.</v>
          </cell>
        </row>
        <row r="424">
          <cell r="AW424" t="str">
            <v>.</v>
          </cell>
          <cell r="AX424" t="str">
            <v>.</v>
          </cell>
        </row>
        <row r="425">
          <cell r="AW425" t="str">
            <v>.</v>
          </cell>
          <cell r="AX425" t="str">
            <v>.</v>
          </cell>
        </row>
        <row r="426">
          <cell r="AW426" t="str">
            <v>.</v>
          </cell>
          <cell r="AX426" t="str">
            <v>.</v>
          </cell>
        </row>
        <row r="427">
          <cell r="AW427" t="str">
            <v>.</v>
          </cell>
          <cell r="AX427" t="str">
            <v>.</v>
          </cell>
        </row>
        <row r="428">
          <cell r="AW428" t="str">
            <v>.</v>
          </cell>
          <cell r="AX428" t="str">
            <v>.</v>
          </cell>
        </row>
        <row r="429">
          <cell r="AW429" t="str">
            <v>.</v>
          </cell>
          <cell r="AX429" t="str">
            <v>.</v>
          </cell>
        </row>
        <row r="430">
          <cell r="AW430" t="str">
            <v>.</v>
          </cell>
          <cell r="AX430" t="str">
            <v>.</v>
          </cell>
        </row>
        <row r="431">
          <cell r="AW431" t="str">
            <v>.</v>
          </cell>
          <cell r="AX431" t="str">
            <v>.</v>
          </cell>
        </row>
        <row r="432">
          <cell r="AW432" t="str">
            <v>.</v>
          </cell>
          <cell r="AX432" t="str">
            <v>.</v>
          </cell>
        </row>
        <row r="433">
          <cell r="AW433" t="str">
            <v>.</v>
          </cell>
          <cell r="AX433" t="str">
            <v>.</v>
          </cell>
        </row>
        <row r="434">
          <cell r="AW434" t="str">
            <v>.</v>
          </cell>
          <cell r="AX434" t="str">
            <v>.</v>
          </cell>
        </row>
        <row r="435">
          <cell r="AW435" t="str">
            <v>.</v>
          </cell>
          <cell r="AX435" t="str">
            <v>.</v>
          </cell>
        </row>
        <row r="436">
          <cell r="AW436" t="str">
            <v>.</v>
          </cell>
          <cell r="AX436" t="str">
            <v>.</v>
          </cell>
        </row>
        <row r="437">
          <cell r="AW437" t="str">
            <v>.</v>
          </cell>
          <cell r="AX437" t="str">
            <v>.</v>
          </cell>
        </row>
        <row r="438">
          <cell r="AW438" t="str">
            <v>.</v>
          </cell>
          <cell r="AX438" t="str">
            <v>.</v>
          </cell>
        </row>
        <row r="439">
          <cell r="AW439" t="str">
            <v>.</v>
          </cell>
          <cell r="AX439" t="str">
            <v>.</v>
          </cell>
        </row>
        <row r="440">
          <cell r="AW440" t="str">
            <v>.</v>
          </cell>
          <cell r="AX440" t="str">
            <v>.</v>
          </cell>
        </row>
        <row r="441">
          <cell r="AW441" t="str">
            <v>.</v>
          </cell>
          <cell r="AX441" t="str">
            <v>.</v>
          </cell>
        </row>
        <row r="442">
          <cell r="AW442" t="str">
            <v>.</v>
          </cell>
          <cell r="AX442" t="str">
            <v>.</v>
          </cell>
        </row>
        <row r="443">
          <cell r="AW443" t="str">
            <v>.</v>
          </cell>
          <cell r="AX443" t="str">
            <v>.</v>
          </cell>
        </row>
        <row r="444">
          <cell r="AW444" t="str">
            <v>.</v>
          </cell>
          <cell r="AX444" t="str">
            <v>.</v>
          </cell>
        </row>
        <row r="445">
          <cell r="AW445" t="str">
            <v>.</v>
          </cell>
          <cell r="AX445" t="str">
            <v>.</v>
          </cell>
        </row>
        <row r="446">
          <cell r="AW446" t="str">
            <v>.</v>
          </cell>
          <cell r="AX446" t="str">
            <v>.</v>
          </cell>
        </row>
        <row r="447">
          <cell r="AW447" t="str">
            <v>.</v>
          </cell>
          <cell r="AX447" t="str">
            <v>.</v>
          </cell>
        </row>
        <row r="448">
          <cell r="AW448" t="str">
            <v>.</v>
          </cell>
          <cell r="AX448" t="str">
            <v>.</v>
          </cell>
        </row>
        <row r="449">
          <cell r="AW449" t="str">
            <v>.</v>
          </cell>
          <cell r="AX449" t="str">
            <v>.</v>
          </cell>
        </row>
        <row r="450">
          <cell r="AW450" t="str">
            <v>.</v>
          </cell>
          <cell r="AX450" t="str">
            <v>.</v>
          </cell>
        </row>
        <row r="451">
          <cell r="AW451" t="str">
            <v>.</v>
          </cell>
          <cell r="AX451" t="str">
            <v>.</v>
          </cell>
        </row>
        <row r="452">
          <cell r="AW452" t="str">
            <v>.</v>
          </cell>
          <cell r="AX452" t="str">
            <v>.</v>
          </cell>
        </row>
        <row r="453">
          <cell r="AW453" t="str">
            <v>.</v>
          </cell>
          <cell r="AX453" t="str">
            <v>.</v>
          </cell>
        </row>
        <row r="454">
          <cell r="AW454" t="str">
            <v>.</v>
          </cell>
          <cell r="AX454" t="str">
            <v>.</v>
          </cell>
        </row>
        <row r="455">
          <cell r="AW455" t="str">
            <v>.</v>
          </cell>
          <cell r="AX455" t="str">
            <v>.</v>
          </cell>
        </row>
        <row r="456">
          <cell r="AW456" t="str">
            <v>.</v>
          </cell>
          <cell r="AX456" t="str">
            <v>.</v>
          </cell>
        </row>
        <row r="457">
          <cell r="AW457" t="str">
            <v>.</v>
          </cell>
          <cell r="AX457" t="str">
            <v>.</v>
          </cell>
        </row>
        <row r="458">
          <cell r="AW458" t="str">
            <v>.</v>
          </cell>
          <cell r="AX458" t="str">
            <v>.</v>
          </cell>
        </row>
        <row r="459">
          <cell r="AW459" t="str">
            <v>.</v>
          </cell>
          <cell r="AX459" t="str">
            <v>.</v>
          </cell>
        </row>
        <row r="460">
          <cell r="AW460" t="str">
            <v>.</v>
          </cell>
          <cell r="AX460" t="str">
            <v>.</v>
          </cell>
        </row>
        <row r="461">
          <cell r="AW461" t="str">
            <v>.</v>
          </cell>
          <cell r="AX461" t="str">
            <v>.</v>
          </cell>
        </row>
        <row r="462">
          <cell r="AW462" t="str">
            <v>.</v>
          </cell>
          <cell r="AX462" t="str">
            <v>.</v>
          </cell>
        </row>
        <row r="463">
          <cell r="AW463" t="str">
            <v>.</v>
          </cell>
          <cell r="AX463" t="str">
            <v>.</v>
          </cell>
        </row>
        <row r="464">
          <cell r="AW464" t="str">
            <v>.</v>
          </cell>
          <cell r="AX464" t="str">
            <v>.</v>
          </cell>
        </row>
        <row r="465">
          <cell r="AW465" t="str">
            <v>.</v>
          </cell>
          <cell r="AX465" t="str">
            <v>.</v>
          </cell>
        </row>
        <row r="466">
          <cell r="AW466" t="str">
            <v>.</v>
          </cell>
          <cell r="AX466" t="str">
            <v>.</v>
          </cell>
        </row>
        <row r="467">
          <cell r="AW467" t="str">
            <v>.</v>
          </cell>
          <cell r="AX467" t="str">
            <v>.</v>
          </cell>
        </row>
        <row r="468">
          <cell r="AW468" t="str">
            <v>.</v>
          </cell>
          <cell r="AX468" t="str">
            <v>.</v>
          </cell>
        </row>
        <row r="469">
          <cell r="AW469" t="str">
            <v>.</v>
          </cell>
          <cell r="AX469" t="str">
            <v>.</v>
          </cell>
        </row>
        <row r="470">
          <cell r="AW470" t="str">
            <v>.</v>
          </cell>
          <cell r="AX470" t="str">
            <v>.</v>
          </cell>
        </row>
        <row r="471">
          <cell r="AW471" t="str">
            <v>.</v>
          </cell>
          <cell r="AX471" t="str">
            <v>.</v>
          </cell>
        </row>
        <row r="472">
          <cell r="AW472" t="str">
            <v>.</v>
          </cell>
          <cell r="AX472" t="str">
            <v>.</v>
          </cell>
        </row>
        <row r="473">
          <cell r="AW473" t="str">
            <v>.</v>
          </cell>
          <cell r="AX473" t="str">
            <v>.</v>
          </cell>
        </row>
        <row r="474">
          <cell r="AW474" t="str">
            <v>.</v>
          </cell>
          <cell r="AX474" t="str">
            <v>.</v>
          </cell>
        </row>
        <row r="475">
          <cell r="AW475" t="str">
            <v>.</v>
          </cell>
          <cell r="AX475" t="str">
            <v>.</v>
          </cell>
        </row>
        <row r="476">
          <cell r="AW476" t="str">
            <v>.</v>
          </cell>
          <cell r="AX476" t="str">
            <v>.</v>
          </cell>
        </row>
        <row r="477">
          <cell r="AW477" t="str">
            <v>.</v>
          </cell>
          <cell r="AX477" t="str">
            <v>.</v>
          </cell>
        </row>
        <row r="478">
          <cell r="AW478" t="str">
            <v>.</v>
          </cell>
          <cell r="AX478" t="str">
            <v>.</v>
          </cell>
        </row>
        <row r="479">
          <cell r="AW479" t="str">
            <v>.</v>
          </cell>
          <cell r="AX479" t="str">
            <v>.</v>
          </cell>
        </row>
        <row r="480">
          <cell r="AW480" t="str">
            <v>.</v>
          </cell>
          <cell r="AX480" t="str">
            <v>.</v>
          </cell>
        </row>
        <row r="481">
          <cell r="AW481" t="str">
            <v>.</v>
          </cell>
          <cell r="AX481" t="str">
            <v>.</v>
          </cell>
        </row>
        <row r="482">
          <cell r="AW482" t="str">
            <v>.</v>
          </cell>
          <cell r="AX482" t="str">
            <v>.</v>
          </cell>
        </row>
        <row r="483">
          <cell r="AW483" t="str">
            <v>.</v>
          </cell>
          <cell r="AX483" t="str">
            <v>.</v>
          </cell>
        </row>
        <row r="484">
          <cell r="AW484" t="str">
            <v>.</v>
          </cell>
          <cell r="AX484" t="str">
            <v>.</v>
          </cell>
        </row>
        <row r="485">
          <cell r="AW485" t="str">
            <v>.</v>
          </cell>
          <cell r="AX485" t="str">
            <v>.</v>
          </cell>
        </row>
        <row r="486">
          <cell r="AW486" t="str">
            <v>.</v>
          </cell>
          <cell r="AX486" t="str">
            <v>.</v>
          </cell>
        </row>
        <row r="487">
          <cell r="AW487" t="str">
            <v>.</v>
          </cell>
          <cell r="AX487" t="str">
            <v>.</v>
          </cell>
        </row>
        <row r="488">
          <cell r="AW488" t="str">
            <v>.</v>
          </cell>
          <cell r="AX488" t="str">
            <v>.</v>
          </cell>
        </row>
        <row r="489">
          <cell r="AW489" t="str">
            <v>.</v>
          </cell>
          <cell r="AX489" t="str">
            <v>.</v>
          </cell>
        </row>
        <row r="490">
          <cell r="AW490" t="str">
            <v>.</v>
          </cell>
          <cell r="AX490" t="str">
            <v>.</v>
          </cell>
        </row>
        <row r="491">
          <cell r="AW491" t="str">
            <v>.</v>
          </cell>
          <cell r="AX491" t="str">
            <v>.</v>
          </cell>
        </row>
        <row r="492">
          <cell r="AW492" t="str">
            <v>.</v>
          </cell>
          <cell r="AX492" t="str">
            <v>.</v>
          </cell>
        </row>
        <row r="493">
          <cell r="AW493" t="str">
            <v>.</v>
          </cell>
          <cell r="AX493" t="str">
            <v>.</v>
          </cell>
        </row>
        <row r="494">
          <cell r="AW494" t="str">
            <v>.</v>
          </cell>
          <cell r="AX494" t="str">
            <v>.</v>
          </cell>
        </row>
        <row r="495">
          <cell r="AW495" t="str">
            <v>.</v>
          </cell>
          <cell r="AX495" t="str">
            <v>.</v>
          </cell>
        </row>
        <row r="496">
          <cell r="AW496" t="str">
            <v>.</v>
          </cell>
          <cell r="AX496" t="str">
            <v>.</v>
          </cell>
        </row>
        <row r="497">
          <cell r="AW497" t="str">
            <v>.</v>
          </cell>
          <cell r="AX497" t="str">
            <v>.</v>
          </cell>
        </row>
        <row r="498">
          <cell r="AW498" t="str">
            <v>.</v>
          </cell>
          <cell r="AX498" t="str">
            <v>.</v>
          </cell>
        </row>
        <row r="499">
          <cell r="AW499" t="str">
            <v>.</v>
          </cell>
          <cell r="AX499" t="str">
            <v>.</v>
          </cell>
        </row>
        <row r="500">
          <cell r="AW500" t="str">
            <v>.</v>
          </cell>
          <cell r="AX500" t="str">
            <v>.</v>
          </cell>
        </row>
        <row r="501">
          <cell r="AW501" t="str">
            <v>.</v>
          </cell>
          <cell r="AX501" t="str">
            <v>.</v>
          </cell>
        </row>
        <row r="502">
          <cell r="AW502" t="str">
            <v>.</v>
          </cell>
          <cell r="AX502" t="str">
            <v>.</v>
          </cell>
        </row>
        <row r="503">
          <cell r="AW503" t="str">
            <v>.</v>
          </cell>
          <cell r="AX503" t="str">
            <v>.</v>
          </cell>
        </row>
        <row r="504">
          <cell r="AW504" t="str">
            <v>.</v>
          </cell>
          <cell r="AX504" t="str">
            <v>.</v>
          </cell>
        </row>
        <row r="505">
          <cell r="AW505" t="str">
            <v>.</v>
          </cell>
          <cell r="AX505" t="str">
            <v>.</v>
          </cell>
        </row>
        <row r="506">
          <cell r="AW506" t="str">
            <v>.</v>
          </cell>
          <cell r="AX506" t="str">
            <v>.</v>
          </cell>
        </row>
        <row r="507">
          <cell r="AW507" t="str">
            <v>.</v>
          </cell>
          <cell r="AX507" t="str">
            <v>.</v>
          </cell>
        </row>
        <row r="508">
          <cell r="AW508" t="str">
            <v>.</v>
          </cell>
          <cell r="AX508" t="str">
            <v>.</v>
          </cell>
        </row>
        <row r="509">
          <cell r="AW509" t="str">
            <v>.</v>
          </cell>
          <cell r="AX509" t="str">
            <v>.</v>
          </cell>
        </row>
        <row r="510">
          <cell r="AW510" t="str">
            <v>.</v>
          </cell>
          <cell r="AX510" t="str">
            <v>.</v>
          </cell>
        </row>
        <row r="511">
          <cell r="AW511" t="str">
            <v>.</v>
          </cell>
          <cell r="AX511" t="str">
            <v>.</v>
          </cell>
        </row>
        <row r="512">
          <cell r="AW512" t="str">
            <v>.</v>
          </cell>
          <cell r="AX512" t="str">
            <v>.</v>
          </cell>
        </row>
        <row r="513">
          <cell r="AW513" t="str">
            <v>.</v>
          </cell>
          <cell r="AX513" t="str">
            <v>.</v>
          </cell>
        </row>
        <row r="514">
          <cell r="AW514" t="str">
            <v>.</v>
          </cell>
          <cell r="AX514" t="str">
            <v>.</v>
          </cell>
        </row>
        <row r="515">
          <cell r="AW515" t="str">
            <v>.</v>
          </cell>
          <cell r="AX515" t="str">
            <v>.</v>
          </cell>
        </row>
        <row r="516">
          <cell r="AW516" t="str">
            <v>.</v>
          </cell>
          <cell r="AX516" t="str">
            <v>.</v>
          </cell>
        </row>
        <row r="517">
          <cell r="AW517" t="str">
            <v>.</v>
          </cell>
          <cell r="AX517" t="str">
            <v>.</v>
          </cell>
        </row>
        <row r="518">
          <cell r="AW518" t="str">
            <v>.</v>
          </cell>
          <cell r="AX518" t="str">
            <v>.</v>
          </cell>
        </row>
        <row r="519">
          <cell r="AW519" t="str">
            <v>.</v>
          </cell>
          <cell r="AX519" t="str">
            <v>.</v>
          </cell>
        </row>
        <row r="520">
          <cell r="AW520" t="str">
            <v>.</v>
          </cell>
          <cell r="AX520" t="str">
            <v>.</v>
          </cell>
        </row>
        <row r="521">
          <cell r="AW521" t="str">
            <v>.</v>
          </cell>
          <cell r="AX521" t="str">
            <v>.</v>
          </cell>
        </row>
        <row r="522">
          <cell r="AW522" t="str">
            <v>.</v>
          </cell>
          <cell r="AX522" t="str">
            <v>.</v>
          </cell>
        </row>
        <row r="523">
          <cell r="AW523" t="str">
            <v>.</v>
          </cell>
          <cell r="AX523" t="str">
            <v>.</v>
          </cell>
        </row>
        <row r="524">
          <cell r="AW524" t="str">
            <v>.</v>
          </cell>
          <cell r="AX524" t="str">
            <v>.</v>
          </cell>
        </row>
        <row r="525">
          <cell r="AW525" t="str">
            <v>.</v>
          </cell>
          <cell r="AX525" t="str">
            <v>.</v>
          </cell>
        </row>
        <row r="526">
          <cell r="AW526" t="str">
            <v>.</v>
          </cell>
          <cell r="AX526" t="str">
            <v>.</v>
          </cell>
        </row>
        <row r="527">
          <cell r="AW527" t="str">
            <v>.</v>
          </cell>
          <cell r="AX527" t="str">
            <v>.</v>
          </cell>
        </row>
        <row r="528">
          <cell r="AW528" t="str">
            <v>.</v>
          </cell>
          <cell r="AX528" t="str">
            <v>.</v>
          </cell>
        </row>
        <row r="529">
          <cell r="AW529" t="str">
            <v>.</v>
          </cell>
          <cell r="AX529" t="str">
            <v>.</v>
          </cell>
        </row>
        <row r="530">
          <cell r="AW530" t="str">
            <v>.</v>
          </cell>
          <cell r="AX530" t="str">
            <v>.</v>
          </cell>
        </row>
        <row r="531">
          <cell r="AW531" t="str">
            <v>.</v>
          </cell>
          <cell r="AX531" t="str">
            <v>.</v>
          </cell>
        </row>
        <row r="532">
          <cell r="AW532" t="str">
            <v>.</v>
          </cell>
          <cell r="AX532" t="str">
            <v>.</v>
          </cell>
        </row>
        <row r="533">
          <cell r="AW533" t="str">
            <v>.</v>
          </cell>
          <cell r="AX533" t="str">
            <v>.</v>
          </cell>
        </row>
        <row r="534">
          <cell r="AW534" t="str">
            <v>.</v>
          </cell>
          <cell r="AX534" t="str">
            <v>.</v>
          </cell>
        </row>
        <row r="535">
          <cell r="AW535" t="str">
            <v>.</v>
          </cell>
          <cell r="AX535" t="str">
            <v>.</v>
          </cell>
        </row>
        <row r="536">
          <cell r="AW536" t="str">
            <v>.</v>
          </cell>
          <cell r="AX536" t="str">
            <v>.</v>
          </cell>
        </row>
        <row r="537">
          <cell r="AW537" t="str">
            <v>.</v>
          </cell>
          <cell r="AX537" t="str">
            <v>.</v>
          </cell>
        </row>
        <row r="538">
          <cell r="AW538" t="str">
            <v>.</v>
          </cell>
          <cell r="AX538" t="str">
            <v>.</v>
          </cell>
        </row>
        <row r="539">
          <cell r="AW539" t="str">
            <v>.</v>
          </cell>
          <cell r="AX539" t="str">
            <v>.</v>
          </cell>
        </row>
        <row r="540">
          <cell r="AW540" t="str">
            <v>.</v>
          </cell>
          <cell r="AX540" t="str">
            <v>.</v>
          </cell>
        </row>
        <row r="541">
          <cell r="AW541" t="str">
            <v>.</v>
          </cell>
          <cell r="AX541" t="str">
            <v>.</v>
          </cell>
        </row>
        <row r="542">
          <cell r="AW542" t="str">
            <v>.</v>
          </cell>
          <cell r="AX542" t="str">
            <v>.</v>
          </cell>
        </row>
        <row r="543">
          <cell r="AW543" t="str">
            <v>.</v>
          </cell>
          <cell r="AX543" t="str">
            <v>.</v>
          </cell>
        </row>
        <row r="544">
          <cell r="AW544" t="str">
            <v>.</v>
          </cell>
          <cell r="AX544" t="str">
            <v>.</v>
          </cell>
        </row>
        <row r="545">
          <cell r="AW545" t="str">
            <v>.</v>
          </cell>
          <cell r="AX545" t="str">
            <v>.</v>
          </cell>
        </row>
        <row r="546">
          <cell r="AW546" t="str">
            <v>.</v>
          </cell>
          <cell r="AX546" t="str">
            <v>.</v>
          </cell>
        </row>
        <row r="547">
          <cell r="AW547" t="str">
            <v>.</v>
          </cell>
          <cell r="AX547" t="str">
            <v>.</v>
          </cell>
        </row>
        <row r="548">
          <cell r="AW548" t="str">
            <v>.</v>
          </cell>
          <cell r="AX548" t="str">
            <v>.</v>
          </cell>
        </row>
        <row r="549">
          <cell r="AW549" t="str">
            <v>.</v>
          </cell>
          <cell r="AX549" t="str">
            <v>.</v>
          </cell>
        </row>
        <row r="550">
          <cell r="AW550" t="str">
            <v>.</v>
          </cell>
          <cell r="AX550" t="str">
            <v>.</v>
          </cell>
        </row>
        <row r="551">
          <cell r="AW551" t="str">
            <v>.</v>
          </cell>
          <cell r="AX551" t="str">
            <v>.</v>
          </cell>
        </row>
        <row r="552">
          <cell r="AW552" t="str">
            <v>.</v>
          </cell>
          <cell r="AX552" t="str">
            <v>.</v>
          </cell>
        </row>
        <row r="553">
          <cell r="AW553" t="str">
            <v>.</v>
          </cell>
          <cell r="AX553" t="str">
            <v>.</v>
          </cell>
        </row>
        <row r="554">
          <cell r="AW554" t="str">
            <v>.</v>
          </cell>
          <cell r="AX554" t="str">
            <v>.</v>
          </cell>
        </row>
        <row r="555">
          <cell r="AW555" t="str">
            <v>.</v>
          </cell>
          <cell r="AX555" t="str">
            <v>.</v>
          </cell>
        </row>
        <row r="556">
          <cell r="AW556" t="str">
            <v>.</v>
          </cell>
          <cell r="AX556" t="str">
            <v>.</v>
          </cell>
        </row>
        <row r="557">
          <cell r="AW557" t="str">
            <v>.</v>
          </cell>
          <cell r="AX557" t="str">
            <v>.</v>
          </cell>
        </row>
        <row r="558">
          <cell r="AW558" t="str">
            <v>.</v>
          </cell>
          <cell r="AX558" t="str">
            <v>.</v>
          </cell>
        </row>
        <row r="559">
          <cell r="AW559" t="str">
            <v>.</v>
          </cell>
          <cell r="AX559" t="str">
            <v>.</v>
          </cell>
        </row>
        <row r="560">
          <cell r="AW560" t="str">
            <v>.</v>
          </cell>
          <cell r="AX560" t="str">
            <v>.</v>
          </cell>
        </row>
        <row r="561">
          <cell r="AW561" t="str">
            <v>.</v>
          </cell>
          <cell r="AX561" t="str">
            <v>.</v>
          </cell>
        </row>
        <row r="562">
          <cell r="AW562" t="str">
            <v>.</v>
          </cell>
          <cell r="AX562" t="str">
            <v>.</v>
          </cell>
        </row>
        <row r="563">
          <cell r="AW563" t="str">
            <v>.</v>
          </cell>
          <cell r="AX563" t="str">
            <v>.</v>
          </cell>
        </row>
        <row r="564">
          <cell r="AW564" t="str">
            <v>.</v>
          </cell>
          <cell r="AX564" t="str">
            <v>.</v>
          </cell>
        </row>
        <row r="565">
          <cell r="AW565" t="str">
            <v>.</v>
          </cell>
          <cell r="AX565" t="str">
            <v>.</v>
          </cell>
        </row>
        <row r="566">
          <cell r="AW566" t="str">
            <v>.</v>
          </cell>
          <cell r="AX566" t="str">
            <v>.</v>
          </cell>
        </row>
        <row r="567">
          <cell r="AW567" t="str">
            <v>.</v>
          </cell>
          <cell r="AX567" t="str">
            <v>.</v>
          </cell>
        </row>
        <row r="568">
          <cell r="AW568" t="str">
            <v>.</v>
          </cell>
          <cell r="AX568" t="str">
            <v>.</v>
          </cell>
        </row>
        <row r="569">
          <cell r="AW569" t="str">
            <v>.</v>
          </cell>
          <cell r="AX569" t="str">
            <v>.</v>
          </cell>
        </row>
        <row r="570">
          <cell r="AW570" t="str">
            <v>.</v>
          </cell>
          <cell r="AX570" t="str">
            <v>.</v>
          </cell>
        </row>
        <row r="571">
          <cell r="AW571" t="str">
            <v>.</v>
          </cell>
          <cell r="AX571" t="str">
            <v>.</v>
          </cell>
        </row>
        <row r="572">
          <cell r="AW572" t="str">
            <v>.</v>
          </cell>
          <cell r="AX572" t="str">
            <v>.</v>
          </cell>
        </row>
        <row r="573">
          <cell r="AW573" t="str">
            <v>.</v>
          </cell>
          <cell r="AX573" t="str">
            <v>.</v>
          </cell>
        </row>
        <row r="574">
          <cell r="AW574" t="str">
            <v>.</v>
          </cell>
          <cell r="AX574" t="str">
            <v>.</v>
          </cell>
        </row>
        <row r="575">
          <cell r="AW575" t="str">
            <v>.</v>
          </cell>
          <cell r="AX575" t="str">
            <v>.</v>
          </cell>
        </row>
        <row r="576">
          <cell r="AW576" t="str">
            <v>.</v>
          </cell>
          <cell r="AX576" t="str">
            <v>.</v>
          </cell>
        </row>
        <row r="577">
          <cell r="AW577" t="str">
            <v>.</v>
          </cell>
          <cell r="AX577" t="str">
            <v>.</v>
          </cell>
        </row>
        <row r="578">
          <cell r="AW578" t="str">
            <v>.</v>
          </cell>
          <cell r="AX578" t="str">
            <v>.</v>
          </cell>
        </row>
        <row r="579">
          <cell r="AW579" t="str">
            <v>.</v>
          </cell>
          <cell r="AX579" t="str">
            <v>.</v>
          </cell>
        </row>
        <row r="580">
          <cell r="AW580" t="str">
            <v>.</v>
          </cell>
          <cell r="AX580" t="str">
            <v>.</v>
          </cell>
        </row>
        <row r="581">
          <cell r="AW581" t="str">
            <v>.</v>
          </cell>
          <cell r="AX581" t="str">
            <v>.</v>
          </cell>
        </row>
        <row r="582">
          <cell r="AW582" t="str">
            <v>.</v>
          </cell>
          <cell r="AX582" t="str">
            <v>.</v>
          </cell>
        </row>
        <row r="583">
          <cell r="AW583" t="str">
            <v>.</v>
          </cell>
          <cell r="AX583" t="str">
            <v>.</v>
          </cell>
        </row>
        <row r="584">
          <cell r="AW584" t="str">
            <v>.</v>
          </cell>
          <cell r="AX584" t="str">
            <v>.</v>
          </cell>
        </row>
        <row r="585">
          <cell r="AW585" t="str">
            <v>.</v>
          </cell>
          <cell r="AX585" t="str">
            <v>.</v>
          </cell>
        </row>
        <row r="586">
          <cell r="AW586" t="str">
            <v>.</v>
          </cell>
          <cell r="AX586" t="str">
            <v>.</v>
          </cell>
        </row>
        <row r="587">
          <cell r="AW587" t="str">
            <v>.</v>
          </cell>
          <cell r="AX587" t="str">
            <v>.</v>
          </cell>
        </row>
        <row r="588">
          <cell r="AW588" t="str">
            <v>.</v>
          </cell>
          <cell r="AX588" t="str">
            <v>.</v>
          </cell>
        </row>
        <row r="589">
          <cell r="AW589" t="str">
            <v>.</v>
          </cell>
          <cell r="AX589" t="str">
            <v>.</v>
          </cell>
        </row>
        <row r="590">
          <cell r="AW590" t="str">
            <v>.</v>
          </cell>
          <cell r="AX590" t="str">
            <v>.</v>
          </cell>
        </row>
        <row r="591">
          <cell r="AW591" t="str">
            <v>.</v>
          </cell>
          <cell r="AX591" t="str">
            <v>.</v>
          </cell>
        </row>
        <row r="592">
          <cell r="AW592" t="str">
            <v>.</v>
          </cell>
          <cell r="AX592" t="str">
            <v>.</v>
          </cell>
        </row>
        <row r="593">
          <cell r="AW593" t="str">
            <v>.</v>
          </cell>
          <cell r="AX593" t="str">
            <v>.</v>
          </cell>
        </row>
        <row r="594">
          <cell r="AW594" t="str">
            <v>.</v>
          </cell>
          <cell r="AX594" t="str">
            <v>.</v>
          </cell>
        </row>
        <row r="595">
          <cell r="AW595" t="str">
            <v>.</v>
          </cell>
          <cell r="AX595" t="str">
            <v>.</v>
          </cell>
        </row>
        <row r="596">
          <cell r="AW596" t="str">
            <v>.</v>
          </cell>
          <cell r="AX596" t="str">
            <v>.</v>
          </cell>
        </row>
        <row r="597">
          <cell r="AW597" t="str">
            <v>.</v>
          </cell>
          <cell r="AX597" t="str">
            <v>.</v>
          </cell>
        </row>
        <row r="598">
          <cell r="AW598" t="str">
            <v>.</v>
          </cell>
          <cell r="AX598" t="str">
            <v>.</v>
          </cell>
        </row>
        <row r="599">
          <cell r="AW599" t="str">
            <v>.</v>
          </cell>
          <cell r="AX599" t="str">
            <v>.</v>
          </cell>
        </row>
        <row r="600">
          <cell r="AW600" t="str">
            <v>.</v>
          </cell>
          <cell r="AX600" t="str">
            <v>.</v>
          </cell>
        </row>
        <row r="601">
          <cell r="AW601" t="str">
            <v>.</v>
          </cell>
          <cell r="AX601" t="str">
            <v>.</v>
          </cell>
        </row>
        <row r="602">
          <cell r="AW602" t="str">
            <v>.</v>
          </cell>
          <cell r="AX602" t="str">
            <v>.</v>
          </cell>
        </row>
        <row r="603">
          <cell r="AW603" t="str">
            <v>.</v>
          </cell>
          <cell r="AX603" t="str">
            <v>.</v>
          </cell>
        </row>
        <row r="604">
          <cell r="AW604" t="str">
            <v>.</v>
          </cell>
          <cell r="AX604" t="str">
            <v>.</v>
          </cell>
        </row>
        <row r="605">
          <cell r="AW605" t="str">
            <v>.</v>
          </cell>
          <cell r="AX605" t="str">
            <v>.</v>
          </cell>
        </row>
        <row r="606">
          <cell r="AW606" t="str">
            <v>.</v>
          </cell>
          <cell r="AX606" t="str">
            <v>.</v>
          </cell>
        </row>
        <row r="607">
          <cell r="AW607" t="str">
            <v>.</v>
          </cell>
          <cell r="AX607" t="str">
            <v>.</v>
          </cell>
        </row>
        <row r="608">
          <cell r="AW608" t="str">
            <v>.</v>
          </cell>
          <cell r="AX608" t="str">
            <v>.</v>
          </cell>
        </row>
        <row r="609">
          <cell r="AW609" t="str">
            <v>.</v>
          </cell>
          <cell r="AX609" t="str">
            <v>.</v>
          </cell>
        </row>
        <row r="610">
          <cell r="AW610" t="str">
            <v>.</v>
          </cell>
          <cell r="AX610" t="str">
            <v>.</v>
          </cell>
        </row>
        <row r="611">
          <cell r="AW611" t="str">
            <v>.</v>
          </cell>
          <cell r="AX611" t="str">
            <v>.</v>
          </cell>
        </row>
        <row r="612">
          <cell r="AW612" t="str">
            <v>.</v>
          </cell>
          <cell r="AX612" t="str">
            <v>.</v>
          </cell>
        </row>
        <row r="613">
          <cell r="AW613" t="str">
            <v>.</v>
          </cell>
          <cell r="AX613" t="str">
            <v>.</v>
          </cell>
        </row>
        <row r="614">
          <cell r="AW614" t="str">
            <v>.</v>
          </cell>
          <cell r="AX614" t="str">
            <v>.</v>
          </cell>
        </row>
        <row r="615">
          <cell r="AW615" t="str">
            <v>.</v>
          </cell>
          <cell r="AX615" t="str">
            <v>.</v>
          </cell>
        </row>
        <row r="616">
          <cell r="AW616" t="str">
            <v>.</v>
          </cell>
          <cell r="AX616" t="str">
            <v>.</v>
          </cell>
        </row>
        <row r="617">
          <cell r="AW617" t="str">
            <v>.</v>
          </cell>
          <cell r="AX617" t="str">
            <v>.</v>
          </cell>
        </row>
        <row r="618">
          <cell r="AW618" t="str">
            <v>.</v>
          </cell>
          <cell r="AX618" t="str">
            <v>.</v>
          </cell>
        </row>
        <row r="619">
          <cell r="AW619" t="str">
            <v>.</v>
          </cell>
          <cell r="AX619" t="str">
            <v>.</v>
          </cell>
        </row>
        <row r="620">
          <cell r="AW620" t="str">
            <v>.</v>
          </cell>
          <cell r="AX620" t="str">
            <v>.</v>
          </cell>
        </row>
        <row r="621">
          <cell r="AW621" t="str">
            <v>.</v>
          </cell>
          <cell r="AX621" t="str">
            <v>.</v>
          </cell>
        </row>
        <row r="622">
          <cell r="AW622" t="str">
            <v>.</v>
          </cell>
          <cell r="AX622" t="str">
            <v>.</v>
          </cell>
        </row>
        <row r="623">
          <cell r="AW623" t="str">
            <v>.</v>
          </cell>
          <cell r="AX623" t="str">
            <v>.</v>
          </cell>
        </row>
        <row r="624">
          <cell r="AW624" t="str">
            <v>.</v>
          </cell>
          <cell r="AX624" t="str">
            <v>.</v>
          </cell>
        </row>
        <row r="625">
          <cell r="AW625" t="str">
            <v>.</v>
          </cell>
          <cell r="AX625" t="str">
            <v>.</v>
          </cell>
        </row>
        <row r="626">
          <cell r="AW626" t="str">
            <v>.</v>
          </cell>
          <cell r="AX626" t="str">
            <v>.</v>
          </cell>
        </row>
        <row r="627">
          <cell r="AW627" t="str">
            <v>.</v>
          </cell>
          <cell r="AX627" t="str">
            <v>.</v>
          </cell>
        </row>
        <row r="628">
          <cell r="AW628" t="str">
            <v>.</v>
          </cell>
          <cell r="AX628" t="str">
            <v>.</v>
          </cell>
        </row>
        <row r="629">
          <cell r="AW629" t="str">
            <v>.</v>
          </cell>
          <cell r="AX629" t="str">
            <v>.</v>
          </cell>
        </row>
        <row r="630">
          <cell r="AW630" t="str">
            <v>.</v>
          </cell>
          <cell r="AX630" t="str">
            <v>.</v>
          </cell>
        </row>
        <row r="631">
          <cell r="AW631" t="str">
            <v>.</v>
          </cell>
          <cell r="AX631" t="str">
            <v>.</v>
          </cell>
        </row>
        <row r="632">
          <cell r="AW632" t="str">
            <v>.</v>
          </cell>
          <cell r="AX632" t="str">
            <v>.</v>
          </cell>
        </row>
        <row r="633">
          <cell r="AW633" t="str">
            <v>.</v>
          </cell>
          <cell r="AX633" t="str">
            <v>.</v>
          </cell>
        </row>
        <row r="634">
          <cell r="AW634" t="str">
            <v>.</v>
          </cell>
          <cell r="AX634" t="str">
            <v>.</v>
          </cell>
        </row>
        <row r="635">
          <cell r="AW635" t="str">
            <v>.</v>
          </cell>
          <cell r="AX635" t="str">
            <v>.</v>
          </cell>
        </row>
        <row r="636">
          <cell r="AW636" t="str">
            <v>.</v>
          </cell>
          <cell r="AX636" t="str">
            <v>.</v>
          </cell>
        </row>
        <row r="637">
          <cell r="AW637" t="str">
            <v>.</v>
          </cell>
          <cell r="AX637" t="str">
            <v>.</v>
          </cell>
        </row>
        <row r="638">
          <cell r="AW638" t="str">
            <v>.</v>
          </cell>
          <cell r="AX638" t="str">
            <v>.</v>
          </cell>
        </row>
        <row r="639">
          <cell r="AW639" t="str">
            <v>.</v>
          </cell>
          <cell r="AX639" t="str">
            <v>.</v>
          </cell>
        </row>
        <row r="640">
          <cell r="AW640" t="str">
            <v>.</v>
          </cell>
          <cell r="AX640" t="str">
            <v>.</v>
          </cell>
        </row>
        <row r="641">
          <cell r="AW641" t="str">
            <v>.</v>
          </cell>
          <cell r="AX641" t="str">
            <v>.</v>
          </cell>
        </row>
        <row r="642">
          <cell r="AW642" t="str">
            <v>.</v>
          </cell>
          <cell r="AX642" t="str">
            <v>.</v>
          </cell>
        </row>
        <row r="643">
          <cell r="AW643" t="str">
            <v>.</v>
          </cell>
          <cell r="AX643" t="str">
            <v>.</v>
          </cell>
        </row>
        <row r="644">
          <cell r="AW644" t="str">
            <v>.</v>
          </cell>
          <cell r="AX644" t="str">
            <v>.</v>
          </cell>
        </row>
        <row r="645">
          <cell r="AW645" t="str">
            <v>.</v>
          </cell>
          <cell r="AX645" t="str">
            <v>.</v>
          </cell>
        </row>
        <row r="646">
          <cell r="AW646" t="str">
            <v>.</v>
          </cell>
          <cell r="AX646" t="str">
            <v>.</v>
          </cell>
        </row>
        <row r="647">
          <cell r="AW647" t="str">
            <v>.</v>
          </cell>
          <cell r="AX647" t="str">
            <v>.</v>
          </cell>
        </row>
        <row r="648">
          <cell r="AW648" t="str">
            <v>.</v>
          </cell>
          <cell r="AX648" t="str">
            <v>.</v>
          </cell>
        </row>
        <row r="649">
          <cell r="AW649" t="str">
            <v>.</v>
          </cell>
          <cell r="AX649" t="str">
            <v>.</v>
          </cell>
        </row>
        <row r="650">
          <cell r="AW650" t="str">
            <v>.</v>
          </cell>
          <cell r="AX650" t="str">
            <v>.</v>
          </cell>
        </row>
        <row r="651">
          <cell r="AW651" t="str">
            <v>.</v>
          </cell>
          <cell r="AX651" t="str">
            <v>.</v>
          </cell>
        </row>
        <row r="652">
          <cell r="AW652" t="str">
            <v>.</v>
          </cell>
          <cell r="AX652" t="str">
            <v>.</v>
          </cell>
        </row>
        <row r="653">
          <cell r="AW653" t="str">
            <v>.</v>
          </cell>
          <cell r="AX653" t="str">
            <v>.</v>
          </cell>
        </row>
        <row r="654">
          <cell r="AW654" t="str">
            <v>.</v>
          </cell>
          <cell r="AX654" t="str">
            <v>.</v>
          </cell>
        </row>
        <row r="655">
          <cell r="AW655" t="str">
            <v>.</v>
          </cell>
          <cell r="AX655" t="str">
            <v>.</v>
          </cell>
        </row>
        <row r="656">
          <cell r="AW656" t="str">
            <v>.</v>
          </cell>
          <cell r="AX656" t="str">
            <v>.</v>
          </cell>
        </row>
        <row r="657">
          <cell r="AW657" t="str">
            <v>.</v>
          </cell>
          <cell r="AX657" t="str">
            <v>.</v>
          </cell>
        </row>
        <row r="658">
          <cell r="AW658" t="str">
            <v>.</v>
          </cell>
          <cell r="AX658" t="str">
            <v>.</v>
          </cell>
        </row>
        <row r="659">
          <cell r="AW659" t="str">
            <v>.</v>
          </cell>
          <cell r="AX659" t="str">
            <v>.</v>
          </cell>
        </row>
        <row r="660">
          <cell r="AW660" t="str">
            <v>.</v>
          </cell>
          <cell r="AX660" t="str">
            <v>.</v>
          </cell>
        </row>
        <row r="661">
          <cell r="AW661" t="str">
            <v>.</v>
          </cell>
          <cell r="AX661" t="str">
            <v>.</v>
          </cell>
        </row>
        <row r="662">
          <cell r="AW662" t="str">
            <v>.</v>
          </cell>
          <cell r="AX662" t="str">
            <v>.</v>
          </cell>
        </row>
        <row r="663">
          <cell r="AW663" t="str">
            <v>.</v>
          </cell>
          <cell r="AX663" t="str">
            <v>.</v>
          </cell>
        </row>
        <row r="664">
          <cell r="AW664" t="str">
            <v>.</v>
          </cell>
          <cell r="AX664" t="str">
            <v>.</v>
          </cell>
        </row>
        <row r="665">
          <cell r="AW665" t="str">
            <v>.</v>
          </cell>
          <cell r="AX665" t="str">
            <v>.</v>
          </cell>
        </row>
        <row r="666">
          <cell r="AW666" t="str">
            <v>.</v>
          </cell>
          <cell r="AX666" t="str">
            <v>.</v>
          </cell>
        </row>
        <row r="667">
          <cell r="AW667" t="str">
            <v>.</v>
          </cell>
          <cell r="AX667" t="str">
            <v>.</v>
          </cell>
        </row>
        <row r="668">
          <cell r="AW668" t="str">
            <v>.</v>
          </cell>
          <cell r="AX668" t="str">
            <v>.</v>
          </cell>
        </row>
        <row r="669">
          <cell r="AW669" t="str">
            <v>.</v>
          </cell>
          <cell r="AX669" t="str">
            <v>.</v>
          </cell>
        </row>
        <row r="670">
          <cell r="AW670" t="str">
            <v>.</v>
          </cell>
          <cell r="AX670" t="str">
            <v>.</v>
          </cell>
        </row>
        <row r="671">
          <cell r="AW671" t="str">
            <v>.</v>
          </cell>
          <cell r="AX671" t="str">
            <v>.</v>
          </cell>
        </row>
        <row r="672">
          <cell r="AW672" t="str">
            <v>.</v>
          </cell>
          <cell r="AX672" t="str">
            <v>.</v>
          </cell>
        </row>
        <row r="673">
          <cell r="AW673" t="str">
            <v>.</v>
          </cell>
          <cell r="AX673" t="str">
            <v>.</v>
          </cell>
        </row>
        <row r="674">
          <cell r="AW674" t="str">
            <v>.</v>
          </cell>
          <cell r="AX674" t="str">
            <v>.</v>
          </cell>
        </row>
        <row r="675">
          <cell r="AW675" t="str">
            <v>.</v>
          </cell>
          <cell r="AX675" t="str">
            <v>.</v>
          </cell>
        </row>
        <row r="676">
          <cell r="AW676" t="str">
            <v>.</v>
          </cell>
          <cell r="AX676" t="str">
            <v>.</v>
          </cell>
        </row>
        <row r="677">
          <cell r="AW677" t="str">
            <v>.</v>
          </cell>
          <cell r="AX677" t="str">
            <v>.</v>
          </cell>
        </row>
        <row r="678">
          <cell r="AW678" t="str">
            <v>.</v>
          </cell>
          <cell r="AX678" t="str">
            <v>.</v>
          </cell>
        </row>
        <row r="679">
          <cell r="AW679" t="str">
            <v>.</v>
          </cell>
          <cell r="AX679" t="str">
            <v>.</v>
          </cell>
        </row>
        <row r="680">
          <cell r="AW680" t="str">
            <v>.</v>
          </cell>
          <cell r="AX680" t="str">
            <v>.</v>
          </cell>
        </row>
        <row r="681">
          <cell r="AW681" t="str">
            <v>.</v>
          </cell>
          <cell r="AX681" t="str">
            <v>.</v>
          </cell>
        </row>
        <row r="682">
          <cell r="AW682" t="str">
            <v>.</v>
          </cell>
          <cell r="AX682" t="str">
            <v>.</v>
          </cell>
        </row>
        <row r="683">
          <cell r="AW683" t="str">
            <v>.</v>
          </cell>
          <cell r="AX683" t="str">
            <v>.</v>
          </cell>
        </row>
        <row r="684">
          <cell r="AW684" t="str">
            <v>.</v>
          </cell>
          <cell r="AX684" t="str">
            <v>.</v>
          </cell>
        </row>
        <row r="685">
          <cell r="AW685" t="str">
            <v>.</v>
          </cell>
          <cell r="AX685" t="str">
            <v>.</v>
          </cell>
        </row>
        <row r="686">
          <cell r="AW686" t="str">
            <v>.</v>
          </cell>
          <cell r="AX686" t="str">
            <v>.</v>
          </cell>
        </row>
        <row r="687">
          <cell r="AW687" t="str">
            <v>.</v>
          </cell>
          <cell r="AX687" t="str">
            <v>.</v>
          </cell>
        </row>
        <row r="688">
          <cell r="AW688" t="str">
            <v>.</v>
          </cell>
          <cell r="AX688" t="str">
            <v>.</v>
          </cell>
        </row>
        <row r="689">
          <cell r="AW689" t="str">
            <v>.</v>
          </cell>
          <cell r="AX689" t="str">
            <v>.</v>
          </cell>
        </row>
        <row r="690">
          <cell r="AW690" t="str">
            <v>.</v>
          </cell>
          <cell r="AX690" t="str">
            <v>.</v>
          </cell>
        </row>
        <row r="691">
          <cell r="AW691" t="str">
            <v>.</v>
          </cell>
          <cell r="AX691" t="str">
            <v>.</v>
          </cell>
        </row>
        <row r="692">
          <cell r="AW692" t="str">
            <v>.</v>
          </cell>
          <cell r="AX692" t="str">
            <v>.</v>
          </cell>
        </row>
        <row r="693">
          <cell r="AW693" t="str">
            <v>.</v>
          </cell>
          <cell r="AX693" t="str">
            <v>.</v>
          </cell>
        </row>
        <row r="694">
          <cell r="AW694" t="str">
            <v>.</v>
          </cell>
          <cell r="AX694" t="str">
            <v>.</v>
          </cell>
        </row>
        <row r="695">
          <cell r="AW695" t="str">
            <v>.</v>
          </cell>
          <cell r="AX695" t="str">
            <v>.</v>
          </cell>
        </row>
        <row r="696">
          <cell r="AW696" t="str">
            <v>.</v>
          </cell>
          <cell r="AX696" t="str">
            <v>.</v>
          </cell>
        </row>
        <row r="697">
          <cell r="AW697" t="str">
            <v>.</v>
          </cell>
          <cell r="AX697" t="str">
            <v>.</v>
          </cell>
        </row>
        <row r="698">
          <cell r="AW698" t="str">
            <v>.</v>
          </cell>
          <cell r="AX698" t="str">
            <v>.</v>
          </cell>
        </row>
        <row r="699">
          <cell r="AW699" t="str">
            <v>.</v>
          </cell>
          <cell r="AX699" t="str">
            <v>.</v>
          </cell>
        </row>
        <row r="700">
          <cell r="AW700" t="str">
            <v>.</v>
          </cell>
          <cell r="AX700" t="str">
            <v>.</v>
          </cell>
        </row>
        <row r="701">
          <cell r="AW701" t="str">
            <v>.</v>
          </cell>
          <cell r="AX701" t="str">
            <v>.</v>
          </cell>
        </row>
        <row r="702">
          <cell r="AW702" t="str">
            <v>.</v>
          </cell>
          <cell r="AX702" t="str">
            <v>.</v>
          </cell>
        </row>
        <row r="703">
          <cell r="AW703" t="str">
            <v>.</v>
          </cell>
          <cell r="AX703" t="str">
            <v>.</v>
          </cell>
        </row>
        <row r="704">
          <cell r="AW704" t="str">
            <v>.</v>
          </cell>
          <cell r="AX704" t="str">
            <v>.</v>
          </cell>
        </row>
        <row r="705">
          <cell r="AW705" t="str">
            <v>.</v>
          </cell>
          <cell r="AX705" t="str">
            <v>.</v>
          </cell>
        </row>
        <row r="706">
          <cell r="AW706" t="str">
            <v>.</v>
          </cell>
          <cell r="AX706" t="str">
            <v>.</v>
          </cell>
        </row>
        <row r="707">
          <cell r="AW707" t="str">
            <v>.</v>
          </cell>
          <cell r="AX707" t="str">
            <v>.</v>
          </cell>
        </row>
        <row r="708">
          <cell r="AW708" t="str">
            <v>.</v>
          </cell>
          <cell r="AX708" t="str">
            <v>.</v>
          </cell>
        </row>
        <row r="709">
          <cell r="AW709" t="str">
            <v>.</v>
          </cell>
          <cell r="AX709" t="str">
            <v>.</v>
          </cell>
        </row>
        <row r="710">
          <cell r="AW710" t="str">
            <v>.</v>
          </cell>
          <cell r="AX710" t="str">
            <v>.</v>
          </cell>
        </row>
        <row r="711">
          <cell r="AW711" t="str">
            <v>.</v>
          </cell>
          <cell r="AX711" t="str">
            <v>.</v>
          </cell>
        </row>
        <row r="712">
          <cell r="AW712" t="str">
            <v>.</v>
          </cell>
          <cell r="AX712" t="str">
            <v>.</v>
          </cell>
        </row>
        <row r="713">
          <cell r="AW713" t="str">
            <v>.</v>
          </cell>
          <cell r="AX713" t="str">
            <v>.</v>
          </cell>
        </row>
        <row r="714">
          <cell r="AW714" t="str">
            <v>.</v>
          </cell>
          <cell r="AX714" t="str">
            <v>.</v>
          </cell>
        </row>
        <row r="715">
          <cell r="AW715" t="str">
            <v>.</v>
          </cell>
          <cell r="AX715" t="str">
            <v>.</v>
          </cell>
        </row>
        <row r="716">
          <cell r="AW716" t="str">
            <v>.</v>
          </cell>
          <cell r="AX716" t="str">
            <v>.</v>
          </cell>
        </row>
        <row r="717">
          <cell r="AW717" t="str">
            <v>.</v>
          </cell>
          <cell r="AX717" t="str">
            <v>.</v>
          </cell>
        </row>
        <row r="718">
          <cell r="AW718" t="str">
            <v>.</v>
          </cell>
          <cell r="AX718" t="str">
            <v>.</v>
          </cell>
        </row>
        <row r="719">
          <cell r="AW719" t="str">
            <v>.</v>
          </cell>
          <cell r="AX719" t="str">
            <v>.</v>
          </cell>
        </row>
        <row r="720">
          <cell r="AW720" t="str">
            <v>.</v>
          </cell>
          <cell r="AX720" t="str">
            <v>.</v>
          </cell>
        </row>
        <row r="721">
          <cell r="AW721" t="str">
            <v>.</v>
          </cell>
          <cell r="AX721" t="str">
            <v>.</v>
          </cell>
        </row>
        <row r="722">
          <cell r="AW722" t="str">
            <v>.</v>
          </cell>
          <cell r="AX722" t="str">
            <v>.</v>
          </cell>
        </row>
        <row r="723">
          <cell r="AW723" t="str">
            <v>.</v>
          </cell>
          <cell r="AX723" t="str">
            <v>.</v>
          </cell>
        </row>
        <row r="724">
          <cell r="AW724" t="str">
            <v>.</v>
          </cell>
          <cell r="AX724" t="str">
            <v>.</v>
          </cell>
        </row>
        <row r="725">
          <cell r="AW725" t="str">
            <v>.</v>
          </cell>
          <cell r="AX725" t="str">
            <v>.</v>
          </cell>
        </row>
        <row r="726">
          <cell r="AW726" t="str">
            <v>.</v>
          </cell>
          <cell r="AX726" t="str">
            <v>.</v>
          </cell>
        </row>
        <row r="727">
          <cell r="AW727" t="str">
            <v>.</v>
          </cell>
          <cell r="AX727" t="str">
            <v>.</v>
          </cell>
        </row>
        <row r="728">
          <cell r="AW728" t="str">
            <v>.</v>
          </cell>
          <cell r="AX728" t="str">
            <v>.</v>
          </cell>
        </row>
        <row r="729">
          <cell r="AW729" t="str">
            <v>.</v>
          </cell>
          <cell r="AX729" t="str">
            <v>.</v>
          </cell>
        </row>
        <row r="730">
          <cell r="AW730" t="str">
            <v>.</v>
          </cell>
          <cell r="AX730" t="str">
            <v>.</v>
          </cell>
        </row>
        <row r="731">
          <cell r="AW731" t="str">
            <v>.</v>
          </cell>
          <cell r="AX731" t="str">
            <v>.</v>
          </cell>
        </row>
        <row r="732">
          <cell r="AW732" t="str">
            <v>.</v>
          </cell>
          <cell r="AX732" t="str">
            <v>.</v>
          </cell>
        </row>
        <row r="733">
          <cell r="AW733" t="str">
            <v>.</v>
          </cell>
          <cell r="AX733" t="str">
            <v>.</v>
          </cell>
        </row>
        <row r="734">
          <cell r="AW734" t="str">
            <v>.</v>
          </cell>
          <cell r="AX734" t="str">
            <v>.</v>
          </cell>
        </row>
        <row r="735">
          <cell r="AW735" t="str">
            <v>.</v>
          </cell>
          <cell r="AX735" t="str">
            <v>.</v>
          </cell>
        </row>
        <row r="736">
          <cell r="AW736" t="str">
            <v>.</v>
          </cell>
          <cell r="AX736" t="str">
            <v>.</v>
          </cell>
        </row>
        <row r="737">
          <cell r="AW737" t="str">
            <v>.</v>
          </cell>
          <cell r="AX737" t="str">
            <v>.</v>
          </cell>
        </row>
        <row r="738">
          <cell r="AW738" t="str">
            <v>.</v>
          </cell>
          <cell r="AX738" t="str">
            <v>.</v>
          </cell>
        </row>
        <row r="739">
          <cell r="AW739" t="str">
            <v>.</v>
          </cell>
          <cell r="AX739" t="str">
            <v>.</v>
          </cell>
        </row>
        <row r="740">
          <cell r="AW740" t="str">
            <v>.</v>
          </cell>
          <cell r="AX740" t="str">
            <v>.</v>
          </cell>
        </row>
        <row r="741">
          <cell r="AW741" t="str">
            <v>.</v>
          </cell>
          <cell r="AX741" t="str">
            <v>.</v>
          </cell>
        </row>
        <row r="742">
          <cell r="AW742" t="str">
            <v>.</v>
          </cell>
          <cell r="AX742" t="str">
            <v>.</v>
          </cell>
        </row>
        <row r="743">
          <cell r="AW743" t="str">
            <v>.</v>
          </cell>
          <cell r="AX743" t="str">
            <v>.</v>
          </cell>
        </row>
        <row r="744">
          <cell r="AW744" t="str">
            <v>.</v>
          </cell>
          <cell r="AX744" t="str">
            <v>.</v>
          </cell>
        </row>
        <row r="745">
          <cell r="AW745" t="str">
            <v>.</v>
          </cell>
          <cell r="AX745" t="str">
            <v>.</v>
          </cell>
        </row>
        <row r="746">
          <cell r="AW746" t="str">
            <v>.</v>
          </cell>
          <cell r="AX746" t="str">
            <v>.</v>
          </cell>
        </row>
        <row r="747">
          <cell r="AW747" t="str">
            <v>.</v>
          </cell>
          <cell r="AX747" t="str">
            <v>.</v>
          </cell>
        </row>
        <row r="748">
          <cell r="AW748" t="str">
            <v>.</v>
          </cell>
          <cell r="AX748" t="str">
            <v>.</v>
          </cell>
        </row>
        <row r="749">
          <cell r="AW749" t="str">
            <v>.</v>
          </cell>
          <cell r="AX749" t="str">
            <v>.</v>
          </cell>
        </row>
        <row r="750">
          <cell r="AW750" t="str">
            <v>.</v>
          </cell>
          <cell r="AX750" t="str">
            <v>.</v>
          </cell>
        </row>
        <row r="751">
          <cell r="AW751" t="str">
            <v>.</v>
          </cell>
          <cell r="AX751" t="str">
            <v>.</v>
          </cell>
        </row>
        <row r="752">
          <cell r="AW752" t="str">
            <v>.</v>
          </cell>
          <cell r="AX752" t="str">
            <v>.</v>
          </cell>
        </row>
        <row r="753">
          <cell r="AW753" t="str">
            <v>.</v>
          </cell>
          <cell r="AX753" t="str">
            <v>.</v>
          </cell>
        </row>
        <row r="754">
          <cell r="AW754" t="str">
            <v>.</v>
          </cell>
          <cell r="AX754" t="str">
            <v>.</v>
          </cell>
        </row>
        <row r="755">
          <cell r="AW755" t="str">
            <v>.</v>
          </cell>
          <cell r="AX755" t="str">
            <v>.</v>
          </cell>
        </row>
        <row r="756">
          <cell r="AW756" t="str">
            <v>.</v>
          </cell>
          <cell r="AX756" t="str">
            <v>.</v>
          </cell>
        </row>
        <row r="757">
          <cell r="AW757" t="str">
            <v>.</v>
          </cell>
          <cell r="AX757" t="str">
            <v>.</v>
          </cell>
        </row>
        <row r="758">
          <cell r="AW758" t="str">
            <v>.</v>
          </cell>
          <cell r="AX758" t="str">
            <v>.</v>
          </cell>
        </row>
        <row r="759">
          <cell r="AW759" t="str">
            <v>.</v>
          </cell>
          <cell r="AX759" t="str">
            <v>.</v>
          </cell>
        </row>
        <row r="760">
          <cell r="AW760" t="str">
            <v>.</v>
          </cell>
          <cell r="AX760" t="str">
            <v>.</v>
          </cell>
        </row>
        <row r="761">
          <cell r="AW761" t="str">
            <v>.</v>
          </cell>
          <cell r="AX761" t="str">
            <v>.</v>
          </cell>
        </row>
        <row r="762">
          <cell r="AW762" t="str">
            <v>.</v>
          </cell>
          <cell r="AX762" t="str">
            <v>.</v>
          </cell>
        </row>
        <row r="763">
          <cell r="AW763" t="str">
            <v>.</v>
          </cell>
          <cell r="AX763" t="str">
            <v>.</v>
          </cell>
        </row>
        <row r="764">
          <cell r="AW764" t="str">
            <v>.</v>
          </cell>
          <cell r="AX764" t="str">
            <v>.</v>
          </cell>
        </row>
        <row r="765">
          <cell r="AW765" t="str">
            <v>.</v>
          </cell>
          <cell r="AX765" t="str">
            <v>.</v>
          </cell>
        </row>
        <row r="766">
          <cell r="AW766" t="str">
            <v>.</v>
          </cell>
          <cell r="AX766" t="str">
            <v>.</v>
          </cell>
        </row>
        <row r="767">
          <cell r="AW767" t="str">
            <v>.</v>
          </cell>
          <cell r="AX767" t="str">
            <v>.</v>
          </cell>
        </row>
        <row r="768">
          <cell r="AW768" t="str">
            <v>.</v>
          </cell>
          <cell r="AX768" t="str">
            <v>.</v>
          </cell>
        </row>
        <row r="769">
          <cell r="AW769" t="str">
            <v>.</v>
          </cell>
          <cell r="AX769" t="str">
            <v>.</v>
          </cell>
        </row>
        <row r="770">
          <cell r="AW770" t="str">
            <v>.</v>
          </cell>
          <cell r="AX770" t="str">
            <v>.</v>
          </cell>
        </row>
        <row r="771">
          <cell r="AW771" t="str">
            <v>.</v>
          </cell>
          <cell r="AX771" t="str">
            <v>.</v>
          </cell>
        </row>
        <row r="772">
          <cell r="AW772" t="str">
            <v>.</v>
          </cell>
          <cell r="AX772" t="str">
            <v>.</v>
          </cell>
        </row>
        <row r="773">
          <cell r="AW773" t="str">
            <v>.</v>
          </cell>
          <cell r="AX773" t="str">
            <v>.</v>
          </cell>
        </row>
        <row r="774">
          <cell r="AW774" t="str">
            <v>.</v>
          </cell>
          <cell r="AX774" t="str">
            <v>.</v>
          </cell>
        </row>
        <row r="775">
          <cell r="AW775" t="str">
            <v>.</v>
          </cell>
          <cell r="AX775" t="str">
            <v>.</v>
          </cell>
        </row>
        <row r="776">
          <cell r="AW776" t="str">
            <v>.</v>
          </cell>
          <cell r="AX776" t="str">
            <v>.</v>
          </cell>
        </row>
        <row r="777">
          <cell r="AW777" t="str">
            <v>.</v>
          </cell>
          <cell r="AX777" t="str">
            <v>.</v>
          </cell>
        </row>
        <row r="778">
          <cell r="AW778" t="str">
            <v>.</v>
          </cell>
          <cell r="AX778" t="str">
            <v>.</v>
          </cell>
        </row>
        <row r="779">
          <cell r="AW779" t="str">
            <v>.</v>
          </cell>
          <cell r="AX779" t="str">
            <v>.</v>
          </cell>
        </row>
        <row r="780">
          <cell r="AW780" t="str">
            <v>.</v>
          </cell>
          <cell r="AX780" t="str">
            <v>.</v>
          </cell>
        </row>
        <row r="781">
          <cell r="AW781" t="str">
            <v>.</v>
          </cell>
          <cell r="AX781" t="str">
            <v>.</v>
          </cell>
        </row>
        <row r="782">
          <cell r="AW782" t="str">
            <v>.</v>
          </cell>
          <cell r="AX782" t="str">
            <v>.</v>
          </cell>
        </row>
        <row r="783">
          <cell r="AW783" t="str">
            <v>.</v>
          </cell>
          <cell r="AX783" t="str">
            <v>.</v>
          </cell>
        </row>
        <row r="784">
          <cell r="AW784" t="str">
            <v>.</v>
          </cell>
          <cell r="AX784" t="str">
            <v>.</v>
          </cell>
        </row>
        <row r="785">
          <cell r="AW785" t="str">
            <v>.</v>
          </cell>
          <cell r="AX785" t="str">
            <v>.</v>
          </cell>
        </row>
        <row r="786">
          <cell r="AW786" t="str">
            <v>.</v>
          </cell>
          <cell r="AX786" t="str">
            <v>.</v>
          </cell>
        </row>
        <row r="787">
          <cell r="AW787" t="str">
            <v>.</v>
          </cell>
          <cell r="AX787" t="str">
            <v>.</v>
          </cell>
        </row>
        <row r="788">
          <cell r="AW788" t="str">
            <v>.</v>
          </cell>
          <cell r="AX788" t="str">
            <v>.</v>
          </cell>
        </row>
        <row r="789">
          <cell r="AW789" t="str">
            <v>.</v>
          </cell>
          <cell r="AX789" t="str">
            <v>.</v>
          </cell>
        </row>
        <row r="790">
          <cell r="AW790" t="str">
            <v>.</v>
          </cell>
          <cell r="AX790" t="str">
            <v>.</v>
          </cell>
        </row>
        <row r="791">
          <cell r="AW791" t="str">
            <v>.</v>
          </cell>
          <cell r="AX791" t="str">
            <v>.</v>
          </cell>
        </row>
        <row r="792">
          <cell r="AW792" t="str">
            <v>.</v>
          </cell>
          <cell r="AX792" t="str">
            <v>.</v>
          </cell>
        </row>
        <row r="793">
          <cell r="AW793" t="str">
            <v>.</v>
          </cell>
          <cell r="AX793" t="str">
            <v>.</v>
          </cell>
        </row>
        <row r="794">
          <cell r="AW794" t="str">
            <v>.</v>
          </cell>
          <cell r="AX794" t="str">
            <v>.</v>
          </cell>
        </row>
        <row r="795">
          <cell r="AW795" t="str">
            <v>.</v>
          </cell>
          <cell r="AX795" t="str">
            <v>.</v>
          </cell>
        </row>
        <row r="796">
          <cell r="AW796" t="str">
            <v>.</v>
          </cell>
          <cell r="AX796" t="str">
            <v>.</v>
          </cell>
        </row>
        <row r="797">
          <cell r="AW797" t="str">
            <v>.</v>
          </cell>
          <cell r="AX797" t="str">
            <v>.</v>
          </cell>
        </row>
        <row r="798">
          <cell r="AW798" t="str">
            <v>.</v>
          </cell>
          <cell r="AX798" t="str">
            <v>.</v>
          </cell>
        </row>
        <row r="799">
          <cell r="AW799" t="str">
            <v>.</v>
          </cell>
          <cell r="AX799" t="str">
            <v>.</v>
          </cell>
        </row>
        <row r="800">
          <cell r="AW800" t="str">
            <v>.</v>
          </cell>
          <cell r="AX800" t="str">
            <v>.</v>
          </cell>
        </row>
        <row r="801">
          <cell r="AW801" t="str">
            <v>.</v>
          </cell>
          <cell r="AX801" t="str">
            <v>.</v>
          </cell>
        </row>
        <row r="802">
          <cell r="AW802" t="str">
            <v>.</v>
          </cell>
          <cell r="AX802" t="str">
            <v>.</v>
          </cell>
        </row>
        <row r="803">
          <cell r="AW803" t="str">
            <v>.</v>
          </cell>
          <cell r="AX803" t="str">
            <v>.</v>
          </cell>
        </row>
        <row r="804">
          <cell r="AW804" t="str">
            <v>.</v>
          </cell>
          <cell r="AX804" t="str">
            <v>.</v>
          </cell>
        </row>
        <row r="805">
          <cell r="AW805" t="str">
            <v>.</v>
          </cell>
          <cell r="AX805" t="str">
            <v>.</v>
          </cell>
        </row>
        <row r="806">
          <cell r="AW806" t="str">
            <v>.</v>
          </cell>
          <cell r="AX806" t="str">
            <v>.</v>
          </cell>
        </row>
        <row r="807">
          <cell r="AW807" t="str">
            <v>.</v>
          </cell>
          <cell r="AX807" t="str">
            <v>.</v>
          </cell>
        </row>
        <row r="808">
          <cell r="AW808" t="str">
            <v>.</v>
          </cell>
          <cell r="AX808" t="str">
            <v>.</v>
          </cell>
        </row>
        <row r="809">
          <cell r="AW809" t="str">
            <v>.</v>
          </cell>
          <cell r="AX809" t="str">
            <v>.</v>
          </cell>
        </row>
        <row r="810">
          <cell r="AW810" t="str">
            <v>.</v>
          </cell>
          <cell r="AX810" t="str">
            <v>.</v>
          </cell>
        </row>
        <row r="811">
          <cell r="AW811" t="str">
            <v>.</v>
          </cell>
          <cell r="AX811" t="str">
            <v>.</v>
          </cell>
        </row>
        <row r="812">
          <cell r="AW812" t="str">
            <v>.</v>
          </cell>
          <cell r="AX812" t="str">
            <v>.</v>
          </cell>
        </row>
        <row r="813">
          <cell r="AW813" t="str">
            <v>.</v>
          </cell>
          <cell r="AX813" t="str">
            <v>.</v>
          </cell>
        </row>
        <row r="814">
          <cell r="AW814" t="str">
            <v>.</v>
          </cell>
          <cell r="AX814" t="str">
            <v>.</v>
          </cell>
        </row>
        <row r="815">
          <cell r="AW815" t="str">
            <v>.</v>
          </cell>
          <cell r="AX815" t="str">
            <v>.</v>
          </cell>
        </row>
        <row r="816">
          <cell r="AW816" t="str">
            <v>.</v>
          </cell>
          <cell r="AX816" t="str">
            <v>.</v>
          </cell>
        </row>
        <row r="817">
          <cell r="AW817" t="str">
            <v>.</v>
          </cell>
          <cell r="AX817" t="str">
            <v>.</v>
          </cell>
        </row>
        <row r="818">
          <cell r="AW818" t="str">
            <v>.</v>
          </cell>
          <cell r="AX818" t="str">
            <v>.</v>
          </cell>
        </row>
        <row r="819">
          <cell r="AW819" t="str">
            <v>.</v>
          </cell>
          <cell r="AX819" t="str">
            <v>.</v>
          </cell>
        </row>
        <row r="820">
          <cell r="AW820" t="str">
            <v>.</v>
          </cell>
          <cell r="AX820" t="str">
            <v>.</v>
          </cell>
        </row>
        <row r="821">
          <cell r="AW821" t="str">
            <v>.</v>
          </cell>
          <cell r="AX821" t="str">
            <v>.</v>
          </cell>
        </row>
        <row r="822">
          <cell r="AW822" t="str">
            <v>.</v>
          </cell>
          <cell r="AX822" t="str">
            <v>.</v>
          </cell>
        </row>
        <row r="823">
          <cell r="AW823" t="str">
            <v>.</v>
          </cell>
          <cell r="AX823" t="str">
            <v>.</v>
          </cell>
        </row>
        <row r="824">
          <cell r="AW824" t="str">
            <v>.</v>
          </cell>
          <cell r="AX824" t="str">
            <v>.</v>
          </cell>
        </row>
        <row r="825">
          <cell r="AW825" t="str">
            <v>.</v>
          </cell>
          <cell r="AX825" t="str">
            <v>.</v>
          </cell>
        </row>
        <row r="826">
          <cell r="AW826" t="str">
            <v>.</v>
          </cell>
          <cell r="AX826" t="str">
            <v>.</v>
          </cell>
        </row>
        <row r="827">
          <cell r="AW827" t="str">
            <v>.</v>
          </cell>
          <cell r="AX827" t="str">
            <v>.</v>
          </cell>
        </row>
        <row r="828">
          <cell r="AW828" t="str">
            <v>.</v>
          </cell>
          <cell r="AX828" t="str">
            <v>.</v>
          </cell>
        </row>
        <row r="829">
          <cell r="AW829" t="str">
            <v>.</v>
          </cell>
          <cell r="AX829" t="str">
            <v>.</v>
          </cell>
        </row>
        <row r="830">
          <cell r="AW830" t="str">
            <v>.</v>
          </cell>
          <cell r="AX830" t="str">
            <v>.</v>
          </cell>
        </row>
        <row r="831">
          <cell r="AW831" t="str">
            <v>.</v>
          </cell>
          <cell r="AX831" t="str">
            <v>.</v>
          </cell>
        </row>
        <row r="832">
          <cell r="AW832" t="str">
            <v>.</v>
          </cell>
          <cell r="AX832" t="str">
            <v>.</v>
          </cell>
        </row>
        <row r="833">
          <cell r="AW833" t="str">
            <v>.</v>
          </cell>
          <cell r="AX833" t="str">
            <v>.</v>
          </cell>
        </row>
        <row r="834">
          <cell r="AW834" t="str">
            <v>.</v>
          </cell>
          <cell r="AX834" t="str">
            <v>.</v>
          </cell>
        </row>
        <row r="835">
          <cell r="AW835" t="str">
            <v>.</v>
          </cell>
          <cell r="AX835" t="str">
            <v>.</v>
          </cell>
        </row>
        <row r="836">
          <cell r="AW836" t="str">
            <v>.</v>
          </cell>
          <cell r="AX836" t="str">
            <v>.</v>
          </cell>
        </row>
        <row r="837">
          <cell r="AW837" t="str">
            <v>.</v>
          </cell>
          <cell r="AX837" t="str">
            <v>.</v>
          </cell>
        </row>
        <row r="838">
          <cell r="AW838" t="str">
            <v>.</v>
          </cell>
          <cell r="AX838" t="str">
            <v>.</v>
          </cell>
        </row>
        <row r="839">
          <cell r="AW839" t="str">
            <v>.</v>
          </cell>
          <cell r="AX839" t="str">
            <v>.</v>
          </cell>
        </row>
        <row r="840">
          <cell r="AW840" t="str">
            <v>.</v>
          </cell>
          <cell r="AX840" t="str">
            <v>.</v>
          </cell>
        </row>
        <row r="841">
          <cell r="AW841" t="str">
            <v>.</v>
          </cell>
          <cell r="AX841" t="str">
            <v>.</v>
          </cell>
        </row>
        <row r="842">
          <cell r="AW842" t="str">
            <v>.</v>
          </cell>
          <cell r="AX842" t="str">
            <v>.</v>
          </cell>
        </row>
        <row r="843">
          <cell r="AW843" t="str">
            <v>.</v>
          </cell>
          <cell r="AX843" t="str">
            <v>.</v>
          </cell>
        </row>
        <row r="844">
          <cell r="AW844" t="str">
            <v>.</v>
          </cell>
          <cell r="AX844" t="str">
            <v>.</v>
          </cell>
        </row>
        <row r="845">
          <cell r="AW845" t="str">
            <v>.</v>
          </cell>
          <cell r="AX845" t="str">
            <v>.</v>
          </cell>
        </row>
        <row r="846">
          <cell r="AW846" t="str">
            <v>.</v>
          </cell>
          <cell r="AX846" t="str">
            <v>.</v>
          </cell>
        </row>
        <row r="847">
          <cell r="AW847" t="str">
            <v>.</v>
          </cell>
          <cell r="AX847" t="str">
            <v>.</v>
          </cell>
        </row>
        <row r="848">
          <cell r="AW848" t="str">
            <v>.</v>
          </cell>
          <cell r="AX848" t="str">
            <v>.</v>
          </cell>
        </row>
        <row r="849">
          <cell r="AW849" t="str">
            <v>.</v>
          </cell>
          <cell r="AX849" t="str">
            <v>.</v>
          </cell>
        </row>
        <row r="850">
          <cell r="AW850" t="str">
            <v>.</v>
          </cell>
          <cell r="AX850" t="str">
            <v>.</v>
          </cell>
        </row>
        <row r="851">
          <cell r="AW851" t="str">
            <v>.</v>
          </cell>
          <cell r="AX851" t="str">
            <v>.</v>
          </cell>
        </row>
        <row r="852">
          <cell r="AW852" t="str">
            <v>.</v>
          </cell>
          <cell r="AX852" t="str">
            <v>.</v>
          </cell>
        </row>
        <row r="853">
          <cell r="AW853" t="str">
            <v>.</v>
          </cell>
          <cell r="AX853" t="str">
            <v>.</v>
          </cell>
        </row>
        <row r="854">
          <cell r="AW854" t="str">
            <v>.</v>
          </cell>
          <cell r="AX854" t="str">
            <v>.</v>
          </cell>
        </row>
        <row r="855">
          <cell r="AW855" t="str">
            <v>.</v>
          </cell>
          <cell r="AX855" t="str">
            <v>.</v>
          </cell>
        </row>
        <row r="856">
          <cell r="AW856" t="str">
            <v>.</v>
          </cell>
          <cell r="AX856" t="str">
            <v>.</v>
          </cell>
        </row>
        <row r="857">
          <cell r="AW857" t="str">
            <v>.</v>
          </cell>
          <cell r="AX857" t="str">
            <v>.</v>
          </cell>
        </row>
        <row r="858">
          <cell r="AW858" t="str">
            <v>.</v>
          </cell>
          <cell r="AX858" t="str">
            <v>.</v>
          </cell>
        </row>
        <row r="859">
          <cell r="AW859" t="str">
            <v>.</v>
          </cell>
          <cell r="AX859" t="str">
            <v>.</v>
          </cell>
        </row>
        <row r="860">
          <cell r="AW860" t="str">
            <v>.</v>
          </cell>
          <cell r="AX860" t="str">
            <v>.</v>
          </cell>
        </row>
        <row r="861">
          <cell r="AW861" t="str">
            <v>.</v>
          </cell>
          <cell r="AX861" t="str">
            <v>.</v>
          </cell>
        </row>
        <row r="862">
          <cell r="AW862" t="str">
            <v>.</v>
          </cell>
          <cell r="AX862" t="str">
            <v>.</v>
          </cell>
        </row>
        <row r="863">
          <cell r="AW863" t="str">
            <v>.</v>
          </cell>
          <cell r="AX863" t="str">
            <v>.</v>
          </cell>
        </row>
        <row r="864">
          <cell r="AW864" t="str">
            <v>.</v>
          </cell>
          <cell r="AX864" t="str">
            <v>.</v>
          </cell>
        </row>
        <row r="865">
          <cell r="AW865" t="str">
            <v>.</v>
          </cell>
          <cell r="AX865" t="str">
            <v>.</v>
          </cell>
        </row>
        <row r="866">
          <cell r="AW866" t="str">
            <v>.</v>
          </cell>
          <cell r="AX866" t="str">
            <v>.</v>
          </cell>
        </row>
        <row r="867">
          <cell r="AW867" t="str">
            <v>.</v>
          </cell>
          <cell r="AX867" t="str">
            <v>.</v>
          </cell>
        </row>
        <row r="868">
          <cell r="AW868" t="str">
            <v>.</v>
          </cell>
          <cell r="AX868" t="str">
            <v>.</v>
          </cell>
        </row>
        <row r="869">
          <cell r="AW869" t="str">
            <v>.</v>
          </cell>
          <cell r="AX869" t="str">
            <v>.</v>
          </cell>
        </row>
        <row r="870">
          <cell r="AW870" t="str">
            <v>.</v>
          </cell>
          <cell r="AX870" t="str">
            <v>.</v>
          </cell>
        </row>
        <row r="871">
          <cell r="AW871" t="str">
            <v>.</v>
          </cell>
          <cell r="AX871" t="str">
            <v>.</v>
          </cell>
        </row>
        <row r="872">
          <cell r="AW872" t="str">
            <v>.</v>
          </cell>
          <cell r="AX872" t="str">
            <v>.</v>
          </cell>
        </row>
        <row r="873">
          <cell r="AW873" t="str">
            <v>.</v>
          </cell>
          <cell r="AX873" t="str">
            <v>.</v>
          </cell>
        </row>
        <row r="874">
          <cell r="AW874" t="str">
            <v>.</v>
          </cell>
          <cell r="AX874" t="str">
            <v>.</v>
          </cell>
        </row>
        <row r="875">
          <cell r="AW875" t="str">
            <v>.</v>
          </cell>
          <cell r="AX875" t="str">
            <v>.</v>
          </cell>
        </row>
        <row r="876">
          <cell r="AW876" t="str">
            <v>.</v>
          </cell>
          <cell r="AX876" t="str">
            <v>.</v>
          </cell>
        </row>
        <row r="877">
          <cell r="AW877" t="str">
            <v>.</v>
          </cell>
          <cell r="AX877" t="str">
            <v>.</v>
          </cell>
        </row>
        <row r="878">
          <cell r="AW878" t="str">
            <v>.</v>
          </cell>
          <cell r="AX878" t="str">
            <v>.</v>
          </cell>
        </row>
        <row r="879">
          <cell r="AW879" t="str">
            <v>.</v>
          </cell>
          <cell r="AX879" t="str">
            <v>.</v>
          </cell>
        </row>
        <row r="880">
          <cell r="AW880" t="str">
            <v>.</v>
          </cell>
          <cell r="AX880" t="str">
            <v>.</v>
          </cell>
        </row>
        <row r="881">
          <cell r="AW881" t="str">
            <v>.</v>
          </cell>
          <cell r="AX881" t="str">
            <v>.</v>
          </cell>
        </row>
        <row r="882">
          <cell r="AW882" t="str">
            <v>.</v>
          </cell>
          <cell r="AX882" t="str">
            <v>.</v>
          </cell>
        </row>
        <row r="883">
          <cell r="AW883" t="str">
            <v>.</v>
          </cell>
          <cell r="AX883" t="str">
            <v>.</v>
          </cell>
        </row>
        <row r="884">
          <cell r="AW884" t="str">
            <v>.</v>
          </cell>
          <cell r="AX884" t="str">
            <v>.</v>
          </cell>
        </row>
        <row r="885">
          <cell r="AW885" t="str">
            <v>.</v>
          </cell>
          <cell r="AX885" t="str">
            <v>.</v>
          </cell>
        </row>
        <row r="886">
          <cell r="AW886" t="str">
            <v>.</v>
          </cell>
          <cell r="AX886" t="str">
            <v>.</v>
          </cell>
        </row>
        <row r="887">
          <cell r="AW887" t="str">
            <v>.</v>
          </cell>
          <cell r="AX887" t="str">
            <v>.</v>
          </cell>
        </row>
        <row r="888">
          <cell r="AW888" t="str">
            <v>.</v>
          </cell>
          <cell r="AX888" t="str">
            <v>.</v>
          </cell>
        </row>
        <row r="889">
          <cell r="AW889" t="str">
            <v>.</v>
          </cell>
          <cell r="AX889" t="str">
            <v>.</v>
          </cell>
        </row>
        <row r="890">
          <cell r="AW890" t="str">
            <v>.</v>
          </cell>
          <cell r="AX890" t="str">
            <v>.</v>
          </cell>
        </row>
        <row r="891">
          <cell r="AW891" t="str">
            <v>.</v>
          </cell>
          <cell r="AX891" t="str">
            <v>.</v>
          </cell>
        </row>
        <row r="892">
          <cell r="AW892" t="str">
            <v>.</v>
          </cell>
          <cell r="AX892" t="str">
            <v>.</v>
          </cell>
        </row>
        <row r="893">
          <cell r="AW893" t="str">
            <v>.</v>
          </cell>
          <cell r="AX893" t="str">
            <v>.</v>
          </cell>
        </row>
        <row r="894">
          <cell r="AW894" t="str">
            <v>.</v>
          </cell>
          <cell r="AX894" t="str">
            <v>.</v>
          </cell>
        </row>
        <row r="895">
          <cell r="AW895" t="str">
            <v>.</v>
          </cell>
          <cell r="AX895" t="str">
            <v>.</v>
          </cell>
        </row>
        <row r="896">
          <cell r="AW896" t="str">
            <v>.</v>
          </cell>
          <cell r="AX896" t="str">
            <v>.</v>
          </cell>
        </row>
        <row r="897">
          <cell r="AW897" t="str">
            <v>.</v>
          </cell>
          <cell r="AX897" t="str">
            <v>.</v>
          </cell>
        </row>
        <row r="898">
          <cell r="AW898" t="str">
            <v>.</v>
          </cell>
          <cell r="AX898" t="str">
            <v>.</v>
          </cell>
        </row>
        <row r="899">
          <cell r="AW899" t="str">
            <v>.</v>
          </cell>
          <cell r="AX899" t="str">
            <v>.</v>
          </cell>
        </row>
        <row r="900">
          <cell r="AW900" t="str">
            <v>.</v>
          </cell>
          <cell r="AX900" t="str">
            <v>.</v>
          </cell>
        </row>
        <row r="901">
          <cell r="AW901" t="str">
            <v>.</v>
          </cell>
          <cell r="AX901" t="str">
            <v>.</v>
          </cell>
        </row>
        <row r="902">
          <cell r="AW902" t="str">
            <v>.</v>
          </cell>
          <cell r="AX902" t="str">
            <v>.</v>
          </cell>
        </row>
        <row r="903">
          <cell r="AW903" t="str">
            <v>.</v>
          </cell>
          <cell r="AX903" t="str">
            <v>.</v>
          </cell>
        </row>
        <row r="904">
          <cell r="AW904" t="str">
            <v>.</v>
          </cell>
          <cell r="AX904" t="str">
            <v>.</v>
          </cell>
        </row>
        <row r="905">
          <cell r="AW905" t="str">
            <v>.</v>
          </cell>
          <cell r="AX905" t="str">
            <v>.</v>
          </cell>
        </row>
        <row r="906">
          <cell r="AW906" t="str">
            <v>.</v>
          </cell>
          <cell r="AX906" t="str">
            <v>.</v>
          </cell>
        </row>
        <row r="907">
          <cell r="AW907" t="str">
            <v>.</v>
          </cell>
          <cell r="AX907" t="str">
            <v>.</v>
          </cell>
        </row>
        <row r="908">
          <cell r="AW908" t="str">
            <v>.</v>
          </cell>
          <cell r="AX908" t="str">
            <v>.</v>
          </cell>
        </row>
        <row r="909">
          <cell r="AW909" t="str">
            <v>.</v>
          </cell>
          <cell r="AX909" t="str">
            <v>.</v>
          </cell>
        </row>
        <row r="910">
          <cell r="AW910" t="str">
            <v>.</v>
          </cell>
          <cell r="AX910" t="str">
            <v>.</v>
          </cell>
        </row>
        <row r="911">
          <cell r="AW911" t="str">
            <v>.</v>
          </cell>
          <cell r="AX911" t="str">
            <v>.</v>
          </cell>
        </row>
        <row r="912">
          <cell r="AW912" t="str">
            <v>.</v>
          </cell>
          <cell r="AX912" t="str">
            <v>.</v>
          </cell>
        </row>
        <row r="913">
          <cell r="AW913" t="str">
            <v>.</v>
          </cell>
          <cell r="AX913" t="str">
            <v>.</v>
          </cell>
        </row>
        <row r="914">
          <cell r="AW914" t="str">
            <v>.</v>
          </cell>
          <cell r="AX914" t="str">
            <v>.</v>
          </cell>
        </row>
        <row r="915">
          <cell r="AW915" t="str">
            <v>.</v>
          </cell>
          <cell r="AX915" t="str">
            <v>.</v>
          </cell>
        </row>
        <row r="916">
          <cell r="AW916" t="str">
            <v>.</v>
          </cell>
          <cell r="AX916" t="str">
            <v>.</v>
          </cell>
        </row>
        <row r="917">
          <cell r="AW917" t="str">
            <v>.</v>
          </cell>
          <cell r="AX917" t="str">
            <v>.</v>
          </cell>
        </row>
        <row r="918">
          <cell r="AW918" t="str">
            <v>.</v>
          </cell>
          <cell r="AX918" t="str">
            <v>.</v>
          </cell>
        </row>
        <row r="919">
          <cell r="AW919" t="str">
            <v>.</v>
          </cell>
          <cell r="AX919" t="str">
            <v>.</v>
          </cell>
        </row>
        <row r="920">
          <cell r="AW920" t="str">
            <v>.</v>
          </cell>
          <cell r="AX920" t="str">
            <v>.</v>
          </cell>
        </row>
        <row r="921">
          <cell r="AW921" t="str">
            <v>.</v>
          </cell>
          <cell r="AX921" t="str">
            <v>.</v>
          </cell>
        </row>
        <row r="922">
          <cell r="AW922" t="str">
            <v>.</v>
          </cell>
          <cell r="AX922" t="str">
            <v>.</v>
          </cell>
        </row>
        <row r="923">
          <cell r="AW923" t="str">
            <v>.</v>
          </cell>
          <cell r="AX923" t="str">
            <v>.</v>
          </cell>
        </row>
        <row r="924">
          <cell r="AW924" t="str">
            <v>.</v>
          </cell>
          <cell r="AX924" t="str">
            <v>.</v>
          </cell>
        </row>
        <row r="925">
          <cell r="AW925" t="str">
            <v>.</v>
          </cell>
          <cell r="AX925" t="str">
            <v>.</v>
          </cell>
        </row>
        <row r="926">
          <cell r="AW926" t="str">
            <v>.</v>
          </cell>
          <cell r="AX926" t="str">
            <v>.</v>
          </cell>
        </row>
        <row r="927">
          <cell r="AW927" t="str">
            <v>.</v>
          </cell>
          <cell r="AX927" t="str">
            <v>.</v>
          </cell>
        </row>
        <row r="928">
          <cell r="AW928" t="str">
            <v>.</v>
          </cell>
          <cell r="AX928" t="str">
            <v>.</v>
          </cell>
        </row>
        <row r="929">
          <cell r="AW929" t="str">
            <v>.</v>
          </cell>
          <cell r="AX929" t="str">
            <v>.</v>
          </cell>
        </row>
        <row r="930">
          <cell r="AW930" t="str">
            <v>.</v>
          </cell>
          <cell r="AX930" t="str">
            <v>.</v>
          </cell>
        </row>
        <row r="931">
          <cell r="AW931" t="str">
            <v>.</v>
          </cell>
          <cell r="AX931" t="str">
            <v>.</v>
          </cell>
        </row>
        <row r="932">
          <cell r="AW932" t="str">
            <v>.</v>
          </cell>
          <cell r="AX932" t="str">
            <v>.</v>
          </cell>
        </row>
        <row r="933">
          <cell r="AW933" t="str">
            <v>.</v>
          </cell>
          <cell r="AX933" t="str">
            <v>.</v>
          </cell>
        </row>
        <row r="934">
          <cell r="AW934" t="str">
            <v>.</v>
          </cell>
          <cell r="AX934" t="str">
            <v>.</v>
          </cell>
        </row>
        <row r="935">
          <cell r="AW935" t="str">
            <v>.</v>
          </cell>
          <cell r="AX935" t="str">
            <v>.</v>
          </cell>
        </row>
        <row r="936">
          <cell r="AW936" t="str">
            <v>.</v>
          </cell>
          <cell r="AX936" t="str">
            <v>.</v>
          </cell>
        </row>
        <row r="937">
          <cell r="AW937" t="str">
            <v>.</v>
          </cell>
          <cell r="AX937" t="str">
            <v>.</v>
          </cell>
        </row>
        <row r="938">
          <cell r="AW938" t="str">
            <v>.</v>
          </cell>
          <cell r="AX938" t="str">
            <v>.</v>
          </cell>
        </row>
        <row r="939">
          <cell r="AW939" t="str">
            <v>.</v>
          </cell>
          <cell r="AX939" t="str">
            <v>.</v>
          </cell>
        </row>
        <row r="940">
          <cell r="AW940" t="str">
            <v>.</v>
          </cell>
          <cell r="AX940" t="str">
            <v>.</v>
          </cell>
        </row>
        <row r="941">
          <cell r="AW941" t="str">
            <v>.</v>
          </cell>
          <cell r="AX941" t="str">
            <v>.</v>
          </cell>
        </row>
        <row r="942">
          <cell r="AW942" t="str">
            <v>.</v>
          </cell>
          <cell r="AX942" t="str">
            <v>.</v>
          </cell>
        </row>
        <row r="943">
          <cell r="AW943" t="str">
            <v>.</v>
          </cell>
          <cell r="AX943" t="str">
            <v>.</v>
          </cell>
        </row>
        <row r="944">
          <cell r="AW944" t="str">
            <v>.</v>
          </cell>
          <cell r="AX944" t="str">
            <v>.</v>
          </cell>
        </row>
        <row r="945">
          <cell r="AW945" t="str">
            <v>.</v>
          </cell>
          <cell r="AX945" t="str">
            <v>.</v>
          </cell>
        </row>
        <row r="946">
          <cell r="AW946" t="str">
            <v>.</v>
          </cell>
          <cell r="AX946" t="str">
            <v>.</v>
          </cell>
        </row>
        <row r="947">
          <cell r="AW947" t="str">
            <v>.</v>
          </cell>
          <cell r="AX947" t="str">
            <v>.</v>
          </cell>
        </row>
        <row r="948">
          <cell r="AW948" t="str">
            <v>.</v>
          </cell>
          <cell r="AX948" t="str">
            <v>.</v>
          </cell>
        </row>
        <row r="949">
          <cell r="AW949" t="str">
            <v>.</v>
          </cell>
          <cell r="AX949" t="str">
            <v>.</v>
          </cell>
        </row>
        <row r="950">
          <cell r="AW950" t="str">
            <v>.</v>
          </cell>
          <cell r="AX950" t="str">
            <v>.</v>
          </cell>
        </row>
        <row r="951">
          <cell r="AW951" t="str">
            <v>.</v>
          </cell>
          <cell r="AX951" t="str">
            <v>.</v>
          </cell>
        </row>
        <row r="952">
          <cell r="AW952" t="str">
            <v>.</v>
          </cell>
          <cell r="AX952" t="str">
            <v>.</v>
          </cell>
        </row>
        <row r="953">
          <cell r="AW953" t="str">
            <v>.</v>
          </cell>
          <cell r="AX953" t="str">
            <v>.</v>
          </cell>
        </row>
        <row r="954">
          <cell r="AW954" t="str">
            <v>.</v>
          </cell>
          <cell r="AX954" t="str">
            <v>.</v>
          </cell>
        </row>
        <row r="955">
          <cell r="AW955" t="str">
            <v>.</v>
          </cell>
          <cell r="AX955" t="str">
            <v>.</v>
          </cell>
        </row>
        <row r="956">
          <cell r="AW956" t="str">
            <v>.</v>
          </cell>
          <cell r="AX956" t="str">
            <v>.</v>
          </cell>
        </row>
        <row r="957">
          <cell r="AW957" t="str">
            <v>.</v>
          </cell>
          <cell r="AX957" t="str">
            <v>.</v>
          </cell>
        </row>
        <row r="958">
          <cell r="AW958" t="str">
            <v>.</v>
          </cell>
          <cell r="AX958" t="str">
            <v>.</v>
          </cell>
        </row>
        <row r="959">
          <cell r="AW959" t="str">
            <v>.</v>
          </cell>
          <cell r="AX959" t="str">
            <v>.</v>
          </cell>
        </row>
        <row r="960">
          <cell r="AW960" t="str">
            <v>.</v>
          </cell>
          <cell r="AX960" t="str">
            <v>.</v>
          </cell>
        </row>
        <row r="961">
          <cell r="AW961" t="str">
            <v>.</v>
          </cell>
          <cell r="AX961" t="str">
            <v>.</v>
          </cell>
        </row>
        <row r="962">
          <cell r="AW962" t="str">
            <v>.</v>
          </cell>
          <cell r="AX962" t="str">
            <v>.</v>
          </cell>
        </row>
        <row r="963">
          <cell r="AW963" t="str">
            <v>.</v>
          </cell>
          <cell r="AX963" t="str">
            <v>.</v>
          </cell>
        </row>
        <row r="964">
          <cell r="AW964" t="str">
            <v>.</v>
          </cell>
          <cell r="AX964" t="str">
            <v>.</v>
          </cell>
        </row>
        <row r="965">
          <cell r="AW965" t="str">
            <v>.</v>
          </cell>
          <cell r="AX965" t="str">
            <v>.</v>
          </cell>
        </row>
        <row r="966">
          <cell r="AW966" t="str">
            <v>.</v>
          </cell>
          <cell r="AX966" t="str">
            <v>.</v>
          </cell>
        </row>
        <row r="967">
          <cell r="AW967" t="str">
            <v>.</v>
          </cell>
          <cell r="AX967" t="str">
            <v>.</v>
          </cell>
        </row>
        <row r="968">
          <cell r="AW968" t="str">
            <v>.</v>
          </cell>
          <cell r="AX968" t="str">
            <v>.</v>
          </cell>
        </row>
        <row r="969">
          <cell r="AW969" t="str">
            <v>.</v>
          </cell>
          <cell r="AX969" t="str">
            <v>.</v>
          </cell>
        </row>
        <row r="970">
          <cell r="AW970" t="str">
            <v>.</v>
          </cell>
          <cell r="AX970" t="str">
            <v>.</v>
          </cell>
        </row>
        <row r="971">
          <cell r="AW971" t="str">
            <v>.</v>
          </cell>
          <cell r="AX971" t="str">
            <v>.</v>
          </cell>
        </row>
        <row r="972">
          <cell r="AW972" t="str">
            <v>.</v>
          </cell>
          <cell r="AX972" t="str">
            <v>.</v>
          </cell>
        </row>
        <row r="973">
          <cell r="AW973" t="str">
            <v>.</v>
          </cell>
          <cell r="AX973" t="str">
            <v>.</v>
          </cell>
        </row>
        <row r="974">
          <cell r="AW974" t="str">
            <v>.</v>
          </cell>
          <cell r="AX974" t="str">
            <v>.</v>
          </cell>
        </row>
        <row r="975">
          <cell r="AW975" t="str">
            <v>.</v>
          </cell>
          <cell r="AX975" t="str">
            <v>.</v>
          </cell>
        </row>
        <row r="976">
          <cell r="AW976" t="str">
            <v>.</v>
          </cell>
          <cell r="AX976" t="str">
            <v>.</v>
          </cell>
        </row>
        <row r="977">
          <cell r="AW977" t="str">
            <v>.</v>
          </cell>
          <cell r="AX977" t="str">
            <v>.</v>
          </cell>
        </row>
        <row r="978">
          <cell r="AW978" t="str">
            <v>.</v>
          </cell>
          <cell r="AX978" t="str">
            <v>.</v>
          </cell>
        </row>
        <row r="979">
          <cell r="AW979" t="str">
            <v>.</v>
          </cell>
          <cell r="AX979" t="str">
            <v>.</v>
          </cell>
        </row>
        <row r="980">
          <cell r="AW980" t="str">
            <v>.</v>
          </cell>
          <cell r="AX980" t="str">
            <v>.</v>
          </cell>
        </row>
        <row r="981">
          <cell r="AW981" t="str">
            <v>.</v>
          </cell>
          <cell r="AX981" t="str">
            <v>.</v>
          </cell>
        </row>
        <row r="982">
          <cell r="AW982" t="str">
            <v>.</v>
          </cell>
          <cell r="AX982" t="str">
            <v>.</v>
          </cell>
        </row>
        <row r="983">
          <cell r="AW983" t="str">
            <v>.</v>
          </cell>
          <cell r="AX983" t="str">
            <v>.</v>
          </cell>
        </row>
        <row r="984">
          <cell r="AW984" t="str">
            <v>.</v>
          </cell>
          <cell r="AX984" t="str">
            <v>.</v>
          </cell>
        </row>
        <row r="985">
          <cell r="AW985" t="str">
            <v>.</v>
          </cell>
          <cell r="AX985" t="str">
            <v>.</v>
          </cell>
        </row>
        <row r="986">
          <cell r="AW986" t="str">
            <v>.</v>
          </cell>
          <cell r="AX986" t="str">
            <v>.</v>
          </cell>
        </row>
        <row r="987">
          <cell r="AW987" t="str">
            <v>.</v>
          </cell>
          <cell r="AX987" t="str">
            <v>.</v>
          </cell>
        </row>
        <row r="988">
          <cell r="AW988" t="str">
            <v>.</v>
          </cell>
          <cell r="AX988" t="str">
            <v>.</v>
          </cell>
        </row>
        <row r="989">
          <cell r="AW989" t="str">
            <v>.</v>
          </cell>
          <cell r="AX989" t="str">
            <v>.</v>
          </cell>
        </row>
        <row r="990">
          <cell r="AW990" t="str">
            <v>.</v>
          </cell>
          <cell r="AX990" t="str">
            <v>.</v>
          </cell>
        </row>
        <row r="991">
          <cell r="AW991" t="str">
            <v>.</v>
          </cell>
          <cell r="AX991" t="str">
            <v>.</v>
          </cell>
        </row>
        <row r="992">
          <cell r="AW992" t="str">
            <v>.</v>
          </cell>
          <cell r="AX992" t="str">
            <v>.</v>
          </cell>
        </row>
        <row r="993">
          <cell r="AW993" t="str">
            <v>.</v>
          </cell>
          <cell r="AX993" t="str">
            <v>.</v>
          </cell>
        </row>
        <row r="994">
          <cell r="AW994" t="str">
            <v>.</v>
          </cell>
          <cell r="AX994" t="str">
            <v>.</v>
          </cell>
        </row>
        <row r="995">
          <cell r="AW995" t="str">
            <v>.</v>
          </cell>
          <cell r="AX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row>
        <row r="997">
          <cell r="A997" t="str">
            <v>.</v>
          </cell>
          <cell r="B997" t="str">
            <v>.</v>
          </cell>
          <cell r="C997" t="str">
            <v>.</v>
          </cell>
          <cell r="D997" t="str">
            <v>.</v>
          </cell>
          <cell r="E997" t="str">
            <v>.</v>
          </cell>
          <cell r="P997" t="str">
            <v>.</v>
          </cell>
          <cell r="Q997" t="str">
            <v>.</v>
          </cell>
          <cell r="R997" t="str">
            <v>.</v>
          </cell>
          <cell r="S997" t="str">
            <v>.</v>
          </cell>
          <cell r="T997" t="str">
            <v>.</v>
          </cell>
          <cell r="U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row>
      </sheetData>
      <sheetData sheetId="6"/>
      <sheetData sheetId="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__FDSCACHE__"/>
      <sheetName val="Home"/>
      <sheetName val="Global Valuations"/>
      <sheetName val="Performance"/>
      <sheetName val="BarChart"/>
      <sheetName val="Skeleton"/>
      <sheetName val="master"/>
      <sheetName val="settings"/>
      <sheetName val="MetricRanges"/>
      <sheetName val="mware"/>
      <sheetName val="calc"/>
      <sheetName val="factset"/>
      <sheetName val="Food_Val"/>
      <sheetName val="HPC_Val"/>
      <sheetName val="Tob_Val"/>
    </sheetNames>
    <sheetDataSet>
      <sheetData sheetId="0" refreshError="1"/>
      <sheetData sheetId="1" refreshError="1"/>
      <sheetData sheetId="2" refreshError="1"/>
      <sheetData sheetId="3" refreshError="1"/>
      <sheetData sheetId="4" refreshError="1"/>
      <sheetData sheetId="5" refreshError="1">
        <row r="3">
          <cell r="P3" t="str">
            <v>Select Metric:</v>
          </cell>
        </row>
        <row r="13">
          <cell r="B13" t="b">
            <v>1</v>
          </cell>
        </row>
        <row r="14">
          <cell r="B14" t="b">
            <v>1</v>
          </cell>
        </row>
      </sheetData>
      <sheetData sheetId="6" refreshError="1"/>
      <sheetData sheetId="7" refreshError="1">
        <row r="2">
          <cell r="A2" t="str">
            <v>List of metrics</v>
          </cell>
          <cell r="E2" t="str">
            <v>Global Valuations</v>
          </cell>
        </row>
      </sheetData>
      <sheetData sheetId="8" refreshError="1">
        <row r="1">
          <cell r="AG1" t="str">
            <v>Ticker</v>
          </cell>
          <cell r="AK1" t="str">
            <v>Region</v>
          </cell>
          <cell r="AM1" t="str">
            <v>Metric 1</v>
          </cell>
          <cell r="AN1" t="str">
            <v>Metric 2</v>
          </cell>
          <cell r="AO1" t="str">
            <v>Ratio</v>
          </cell>
        </row>
        <row r="2">
          <cell r="N2">
            <v>105</v>
          </cell>
        </row>
        <row r="3">
          <cell r="I3" t="str">
            <v>settings!Am13:Am34</v>
          </cell>
          <cell r="N3">
            <v>25</v>
          </cell>
          <cell r="AA3" t="str">
            <v>1 Mo Perf Rel to Local Benchmark (Local Currency) (%)</v>
          </cell>
        </row>
        <row r="4">
          <cell r="I4" t="str">
            <v>settings!Am3:Am24</v>
          </cell>
          <cell r="AA4" t="str">
            <v>1 Mo Perf Rel to MSCI Reg (Local Currency) (%)</v>
          </cell>
        </row>
        <row r="5">
          <cell r="I5" t="str">
            <v>settings!Am4:Am25</v>
          </cell>
          <cell r="AA5" t="str">
            <v>1 Wk Perf Rel to Local Benchmark (Local Currency) (%)</v>
          </cell>
        </row>
        <row r="6">
          <cell r="I6" t="str">
            <v>settings!Am7:Am28</v>
          </cell>
          <cell r="AA6" t="str">
            <v>1 Wk Perf Rel to MSCI Reg (Local Currency) (%)</v>
          </cell>
        </row>
        <row r="7">
          <cell r="I7" t="str">
            <v>settings!Am6:Am27</v>
          </cell>
          <cell r="N7">
            <v>5</v>
          </cell>
          <cell r="AA7" t="str">
            <v>3 Mo Perf Rel to Local Benchmark (Local Currency) (%)</v>
          </cell>
        </row>
        <row r="8">
          <cell r="AA8" t="str">
            <v>3 Mo Perf Rel to MSCI Reg (Local Currency) (%)</v>
          </cell>
        </row>
        <row r="9">
          <cell r="AA9" t="str">
            <v>3 Yr EPS Growth 2006-09 (%)</v>
          </cell>
        </row>
        <row r="10">
          <cell r="N10">
            <v>91</v>
          </cell>
          <cell r="AA10" t="str">
            <v>6 Mo Perf Rel to Local Benchmark (Local Currency) (%)</v>
          </cell>
        </row>
        <row r="11">
          <cell r="AA11" t="str">
            <v>6 Mo Perf Rel to MSCI Reg (Local Currency) (%)</v>
          </cell>
        </row>
        <row r="12">
          <cell r="AA12" t="str">
            <v>Abs Perf 1 Mo (Local Currency) (%)</v>
          </cell>
        </row>
        <row r="13">
          <cell r="N13">
            <v>2</v>
          </cell>
          <cell r="AA13" t="str">
            <v>Abs Perf 1 Wk (Local Currency) (%)</v>
          </cell>
        </row>
        <row r="14">
          <cell r="N14">
            <v>8</v>
          </cell>
          <cell r="AA14" t="str">
            <v>Abs Perf 3 Mo (Local Currency) (%)</v>
          </cell>
        </row>
        <row r="15">
          <cell r="N15">
            <v>105</v>
          </cell>
          <cell r="AA15" t="str">
            <v>Abs Perf 6 Mo (Local Currency) (%)</v>
          </cell>
        </row>
        <row r="16">
          <cell r="N16">
            <v>7</v>
          </cell>
          <cell r="AA16" t="str">
            <v>Abs Perf LTM (Local Currency) (%)</v>
          </cell>
        </row>
        <row r="17">
          <cell r="N17">
            <v>6</v>
          </cell>
          <cell r="AA17" t="str">
            <v>Analyst display currency</v>
          </cell>
        </row>
        <row r="18">
          <cell r="AA18" t="str">
            <v>Benchmark</v>
          </cell>
        </row>
        <row r="19">
          <cell r="AA19" t="str">
            <v>Calendarised EPS 2006</v>
          </cell>
        </row>
        <row r="20">
          <cell r="AA20" t="str">
            <v>Calendarised EPS 2007</v>
          </cell>
        </row>
        <row r="21">
          <cell r="AA21" t="str">
            <v>Calendarised EPS 2008</v>
          </cell>
        </row>
        <row r="22">
          <cell r="AA22" t="str">
            <v>Close price currency</v>
          </cell>
        </row>
        <row r="23">
          <cell r="AA23" t="str">
            <v>Close price date</v>
          </cell>
        </row>
        <row r="24">
          <cell r="AA24" t="str">
            <v>Co. description</v>
          </cell>
        </row>
        <row r="25">
          <cell r="AA25" t="str">
            <v>Co. name</v>
          </cell>
        </row>
        <row r="26">
          <cell r="AA26" t="str">
            <v>Company Name1</v>
          </cell>
        </row>
        <row r="27">
          <cell r="AA27" t="str">
            <v>Company Name2</v>
          </cell>
        </row>
        <row r="28">
          <cell r="AA28" t="str">
            <v>Currency</v>
          </cell>
        </row>
        <row r="29">
          <cell r="AA29" t="str">
            <v>Div Yield 05</v>
          </cell>
        </row>
        <row r="30">
          <cell r="AA30" t="str">
            <v>Div Yield 06</v>
          </cell>
        </row>
        <row r="31">
          <cell r="AA31" t="str">
            <v>Div Yield 07</v>
          </cell>
        </row>
        <row r="32">
          <cell r="AA32" t="str">
            <v>Div Yield 08</v>
          </cell>
        </row>
        <row r="33">
          <cell r="AA33" t="str">
            <v>Div Yield 09</v>
          </cell>
        </row>
        <row r="34">
          <cell r="AA34" t="str">
            <v>Dividend Yield 2006 (%)</v>
          </cell>
        </row>
        <row r="35">
          <cell r="AA35" t="str">
            <v>Dividend Yield 2007 (%)</v>
          </cell>
        </row>
        <row r="36">
          <cell r="AA36" t="str">
            <v>Dividend Yield 2008 (%)</v>
          </cell>
        </row>
        <row r="37">
          <cell r="AA37" t="str">
            <v>EPS Growth 2006-09</v>
          </cell>
        </row>
        <row r="38">
          <cell r="AA38" t="str">
            <v>EV/EBITDA 05</v>
          </cell>
        </row>
        <row r="39">
          <cell r="AA39" t="str">
            <v>EV/EBITDA 06</v>
          </cell>
        </row>
        <row r="40">
          <cell r="AA40" t="str">
            <v>EV/EBITDA 07</v>
          </cell>
        </row>
        <row r="41">
          <cell r="AA41" t="str">
            <v>EV/EBITDA 08</v>
          </cell>
        </row>
        <row r="42">
          <cell r="AA42" t="str">
            <v>EV/EBITDA 09</v>
          </cell>
        </row>
        <row r="43">
          <cell r="AA43" t="str">
            <v>EV/EBITDA 2006</v>
          </cell>
        </row>
        <row r="44">
          <cell r="AA44" t="str">
            <v>EV/EBITDA 2007</v>
          </cell>
        </row>
        <row r="45">
          <cell r="AA45" t="str">
            <v>EV/EBITDA 2008</v>
          </cell>
        </row>
        <row r="46">
          <cell r="AA46" t="str">
            <v>FactSet ID</v>
          </cell>
        </row>
        <row r="47">
          <cell r="AA47" t="str">
            <v>FCF Yield 2006 (%)</v>
          </cell>
        </row>
        <row r="48">
          <cell r="AA48" t="str">
            <v>FCF Yield 2007 (%)</v>
          </cell>
        </row>
        <row r="49">
          <cell r="AA49" t="str">
            <v>FCF Yield 2008 (%)</v>
          </cell>
        </row>
        <row r="50">
          <cell r="AA50" t="str">
            <v>FCFY 05</v>
          </cell>
        </row>
        <row r="51">
          <cell r="AA51" t="str">
            <v>FCFY 06</v>
          </cell>
        </row>
        <row r="52">
          <cell r="AA52" t="str">
            <v>FCFY 07</v>
          </cell>
        </row>
        <row r="53">
          <cell r="AA53" t="str">
            <v>FCFY 08</v>
          </cell>
        </row>
        <row r="54">
          <cell r="AA54" t="str">
            <v>FCFY 09</v>
          </cell>
        </row>
        <row r="55">
          <cell r="AA55" t="str">
            <v>Industry view</v>
          </cell>
        </row>
        <row r="56">
          <cell r="AA56" t="str">
            <v>Industry-view</v>
          </cell>
        </row>
        <row r="57">
          <cell r="AA57" t="str">
            <v>LTM Perf Rel to Local Benchmark (Local Currency) (%)</v>
          </cell>
        </row>
        <row r="58">
          <cell r="AA58" t="str">
            <v>LTM Perf Rel to MSCI Reg (Local Currency) (%)</v>
          </cell>
        </row>
        <row r="59">
          <cell r="AA59" t="str">
            <v>Mkt cap (MM)-Current</v>
          </cell>
        </row>
        <row r="60">
          <cell r="AA60" t="str">
            <v>Mkt Cap (USD bns)</v>
          </cell>
        </row>
        <row r="61">
          <cell r="AA61" t="str">
            <v>ModelWare EPS-2005</v>
          </cell>
        </row>
        <row r="62">
          <cell r="AA62" t="str">
            <v>ModelWare EPS-2006 e</v>
          </cell>
        </row>
        <row r="63">
          <cell r="AA63" t="str">
            <v>ModelWare EPS-2007 e</v>
          </cell>
        </row>
        <row r="64">
          <cell r="AA64" t="str">
            <v>ModelWare EPS-2008 e</v>
          </cell>
        </row>
        <row r="65">
          <cell r="AA65" t="str">
            <v>ModelWare EPS-2009 e</v>
          </cell>
        </row>
        <row r="66">
          <cell r="AA66" t="str">
            <v>Modelware P/E 2006</v>
          </cell>
        </row>
        <row r="67">
          <cell r="AA67" t="str">
            <v>Modelware P/E 2007</v>
          </cell>
        </row>
        <row r="68">
          <cell r="AA68" t="str">
            <v>Modelware P/E 2008</v>
          </cell>
        </row>
        <row r="69">
          <cell r="AA69" t="str">
            <v>MSCI Region</v>
          </cell>
        </row>
        <row r="70">
          <cell r="AA70" t="str">
            <v>MW EPS 2005</v>
          </cell>
        </row>
        <row r="71">
          <cell r="AA71" t="str">
            <v>MW EPS 2006</v>
          </cell>
        </row>
        <row r="72">
          <cell r="AA72" t="str">
            <v>MW EPS 2007</v>
          </cell>
        </row>
        <row r="73">
          <cell r="AA73" t="str">
            <v>MW EPS 2008</v>
          </cell>
        </row>
        <row r="74">
          <cell r="AA74" t="str">
            <v>MW EPS 2009</v>
          </cell>
        </row>
        <row r="75">
          <cell r="AA75" t="str">
            <v>PEG 2006</v>
          </cell>
        </row>
        <row r="76">
          <cell r="AA76" t="str">
            <v>Price target</v>
          </cell>
        </row>
        <row r="77">
          <cell r="AA77" t="str">
            <v>Price target-Current</v>
          </cell>
        </row>
        <row r="78">
          <cell r="AA78" t="str">
            <v>Primary analyst</v>
          </cell>
        </row>
        <row r="79">
          <cell r="AA79" t="str">
            <v>Primary industry</v>
          </cell>
        </row>
        <row r="80">
          <cell r="AA80" t="str">
            <v>Primary sector</v>
          </cell>
        </row>
        <row r="81">
          <cell r="AA81" t="str">
            <v>Primary subindustry</v>
          </cell>
        </row>
        <row r="82">
          <cell r="AA82" t="str">
            <v>Region</v>
          </cell>
        </row>
        <row r="83">
          <cell r="AA83" t="str">
            <v>Reported EPS 2006</v>
          </cell>
        </row>
        <row r="84">
          <cell r="AA84" t="str">
            <v>Reported EPS 2007</v>
          </cell>
        </row>
        <row r="85">
          <cell r="AA85" t="str">
            <v>Reported EPS 2008</v>
          </cell>
        </row>
        <row r="86">
          <cell r="AA86" t="str">
            <v>Retrieval Currency</v>
          </cell>
        </row>
        <row r="87">
          <cell r="AA87" t="str">
            <v>Share Price</v>
          </cell>
        </row>
        <row r="88">
          <cell r="AA88" t="str">
            <v>Share price-Current</v>
          </cell>
        </row>
        <row r="89">
          <cell r="AA89" t="str">
            <v>Shr price, close-Current</v>
          </cell>
        </row>
        <row r="90">
          <cell r="AA90" t="str">
            <v>Stock rating</v>
          </cell>
        </row>
        <row r="91">
          <cell r="AA91" t="str">
            <v>StockRating</v>
          </cell>
        </row>
        <row r="92">
          <cell r="AA92" t="str">
            <v>Ticker</v>
          </cell>
        </row>
        <row r="93">
          <cell r="AA93" t="str">
            <v>YE month</v>
          </cell>
        </row>
        <row r="94">
          <cell r="AA94" t="str">
            <v>Year End</v>
          </cell>
        </row>
      </sheetData>
      <sheetData sheetId="9" refreshError="1"/>
      <sheetData sheetId="10" refreshError="1">
        <row r="1">
          <cell r="A1" t="str">
            <v>CompanyName</v>
          </cell>
        </row>
        <row r="5">
          <cell r="A5" t="str">
            <v>Co. name</v>
          </cell>
        </row>
      </sheetData>
      <sheetData sheetId="11" refreshError="1"/>
      <sheetData sheetId="12" refreshError="1"/>
      <sheetData sheetId="13" refreshError="1"/>
      <sheetData sheetId="14" refreshError="1"/>
      <sheetData sheetId="1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dt"/>
      <sheetName val="Input"/>
      <sheetName val="B"/>
      <sheetName val="A"/>
      <sheetName val="__FDSCACHE__"/>
      <sheetName val="Globeuro"/>
      <sheetName val="D"/>
      <sheetName val="Implied"/>
      <sheetName val="Sheet1"/>
      <sheetName val="VAL TAB"/>
      <sheetName val="Comps"/>
      <sheetName val="Chart3"/>
      <sheetName val="Chart_Data"/>
      <sheetName val="VALFEURO"/>
      <sheetName val="MidCaps"/>
      <sheetName val="C1"/>
      <sheetName val="C3"/>
      <sheetName val="C5"/>
      <sheetName val="Chart1"/>
      <sheetName val="Chart2"/>
      <sheetName val="EVEBITDA ROCE"/>
      <sheetName val="Sector"/>
      <sheetName val="P-Es"/>
      <sheetName val="P-CEs"/>
      <sheetName val="Ev-Ebitdas"/>
      <sheetName val="C7"/>
      <sheetName val="C8"/>
      <sheetName val="C9"/>
    </sheetNames>
    <sheetDataSet>
      <sheetData sheetId="0" refreshError="1"/>
      <sheetData sheetId="1" refreshError="1"/>
      <sheetData sheetId="2" refreshError="1"/>
      <sheetData sheetId="3" refreshError="1"/>
      <sheetData sheetId="4" refreshError="1"/>
      <sheetData sheetId="5" refreshError="1"/>
      <sheetData sheetId="6" refreshError="1">
        <row r="7">
          <cell r="D7" t="str">
            <v>n.a</v>
          </cell>
        </row>
        <row r="8">
          <cell r="D8" t="str">
            <v>n.a</v>
          </cell>
        </row>
        <row r="9">
          <cell r="D9">
            <v>440</v>
          </cell>
        </row>
        <row r="10">
          <cell r="D10" t="str">
            <v>n.a</v>
          </cell>
        </row>
        <row r="11">
          <cell r="D11" t="str">
            <v>n.a</v>
          </cell>
        </row>
        <row r="26">
          <cell r="D26" t="str">
            <v>n.a.</v>
          </cell>
        </row>
        <row r="27">
          <cell r="D27">
            <v>27</v>
          </cell>
        </row>
        <row r="28">
          <cell r="D28">
            <v>345</v>
          </cell>
        </row>
        <row r="29">
          <cell r="D29" t="str">
            <v>n.a.</v>
          </cell>
        </row>
        <row r="30">
          <cell r="D30" t="str">
            <v>n.a.</v>
          </cell>
        </row>
        <row r="31">
          <cell r="D31">
            <v>3.8461538461538463</v>
          </cell>
        </row>
        <row r="32">
          <cell r="D32" t="str">
            <v>na</v>
          </cell>
        </row>
        <row r="40">
          <cell r="D40">
            <v>110</v>
          </cell>
        </row>
        <row r="41">
          <cell r="D41">
            <v>40</v>
          </cell>
        </row>
        <row r="42">
          <cell r="D42">
            <v>170</v>
          </cell>
        </row>
        <row r="43">
          <cell r="D43">
            <v>17.5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Financial Statements"/>
      <sheetName val="Regis"/>
      <sheetName val="Segment-Divisionwise"/>
      <sheetName val="NewACV_Financial Statements"/>
      <sheetName val="Consumer-Segment"/>
      <sheetName val="ConsumerP&amp;L"/>
      <sheetName val="Sally_Financial Statements"/>
      <sheetName val="Sally-Segment"/>
      <sheetName val="Sheet2"/>
      <sheetName val="Consumer Brands"/>
      <sheetName val="Value"/>
      <sheetName val="Misc"/>
      <sheetName val="Industry_NetDebt_EBITDA"/>
      <sheetName val="Valuation-DCF"/>
      <sheetName val="Sally - Stores"/>
      <sheetName val="Sally (Data required in red)"/>
      <sheetName val="CosmoProf"/>
      <sheetName val="Print"/>
      <sheetName val="Front"/>
      <sheetName val="Overview"/>
      <sheetName val="Assumptions"/>
      <sheetName val="Industry,Company Overview"/>
      <sheetName val="Income statement"/>
      <sheetName val="Balance sheet"/>
      <sheetName val="Cashflows"/>
      <sheetName val="Valuation"/>
      <sheetName val="Outputs"/>
      <sheetName val="Company specific"/>
      <sheetName val="Segment Information"/>
      <sheetName val="Report"/>
      <sheetName val="Chart1"/>
      <sheetName val="Chart2"/>
      <sheetName val="Sheet1 (2)"/>
      <sheetName val="Questions"/>
      <sheetName val="RatingsRatios"/>
      <sheetName val="Quarter"/>
      <sheetName val="annual"/>
      <sheetName val="EPS Growth Composition"/>
      <sheetName val="Quarter Print"/>
      <sheetName val="Sheet1"/>
      <sheetName val="Sheet3"/>
      <sheetName val="Sheet4"/>
      <sheetName val="0_ Contents"/>
      <sheetName val="WPTT"/>
      <sheetName val="WPGH "/>
      <sheetName val="Macros"/>
      <sheetName val="Summary"/>
      <sheetName val="Variance"/>
      <sheetName val="Actuals-Forecast by Cost Driver"/>
      <sheetName val="Headcount"/>
      <sheetName val="BVAR - Detailed"/>
      <sheetName val="BVAR - Prior Year Detailed"/>
      <sheetName val="Prior Forecast"/>
      <sheetName val="NHSI Stations - model 2001"/>
      <sheetName val="NHSI Stations - 2002"/>
      <sheetName val="station renewals"/>
      <sheetName val="contracted revenue"/>
      <sheetName val="total M+"/>
      <sheetName val="summary by dept"/>
      <sheetName val="202457"/>
      <sheetName val="202557"/>
      <sheetName val="202657"/>
      <sheetName val="203557"/>
      <sheetName val="203757"/>
      <sheetName val="203857"/>
      <sheetName val="206557"/>
      <sheetName val="208057"/>
      <sheetName val="new hires"/>
      <sheetName val="205202"/>
      <sheetName val="B107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2">
          <cell r="A12" t="str">
            <v>Alberto-Culver</v>
          </cell>
        </row>
        <row r="13">
          <cell r="A13" t="str">
            <v>American Greetings</v>
          </cell>
        </row>
        <row r="14">
          <cell r="A14" t="str">
            <v>Central Garden &amp; Pet</v>
          </cell>
        </row>
        <row r="15">
          <cell r="A15" t="str">
            <v>Chattem</v>
          </cell>
        </row>
        <row r="16">
          <cell r="A16" t="str">
            <v>Church &amp; Dwight</v>
          </cell>
        </row>
        <row r="17">
          <cell r="A17" t="str">
            <v>Elizabeth Arden</v>
          </cell>
        </row>
        <row r="18">
          <cell r="A18" t="str">
            <v>Energizer</v>
          </cell>
        </row>
        <row r="19">
          <cell r="A19" t="str">
            <v>Helen of Troy</v>
          </cell>
        </row>
        <row r="20">
          <cell r="A20" t="str">
            <v>Newell-Rubbermaid</v>
          </cell>
        </row>
        <row r="21">
          <cell r="A21" t="str">
            <v>Prestige Brands</v>
          </cell>
        </row>
        <row r="22">
          <cell r="A22" t="str">
            <v>Spectrum Brands</v>
          </cell>
        </row>
        <row r="23">
          <cell r="A23" t="str">
            <v>Scotts Miracle-Gro</v>
          </cell>
        </row>
        <row r="24">
          <cell r="A24" t="str">
            <v>Tupperware</v>
          </cell>
        </row>
        <row r="25">
          <cell r="A25" t="str">
            <v>Weight Watchers</v>
          </cell>
        </row>
      </sheetData>
      <sheetData sheetId="14" refreshError="1">
        <row r="31">
          <cell r="L31">
            <v>0.06</v>
          </cell>
        </row>
        <row r="32">
          <cell r="G32">
            <v>2.5000000000000001E-2</v>
          </cell>
          <cell r="L32">
            <v>0.105</v>
          </cell>
        </row>
        <row r="33">
          <cell r="G33">
            <v>4768.4999840395321</v>
          </cell>
          <cell r="L33">
            <v>0.11</v>
          </cell>
        </row>
        <row r="34">
          <cell r="C34">
            <v>0.35</v>
          </cell>
          <cell r="L34">
            <v>0.19</v>
          </cell>
        </row>
        <row r="35">
          <cell r="C35">
            <v>2.5610000000000001E-2</v>
          </cell>
        </row>
        <row r="36">
          <cell r="C36">
            <v>4.74</v>
          </cell>
        </row>
        <row r="37">
          <cell r="C37">
            <v>0.53</v>
          </cell>
        </row>
        <row r="38">
          <cell r="C38">
            <v>6.4521999999999996E-2</v>
          </cell>
        </row>
        <row r="39">
          <cell r="C39">
            <v>0</v>
          </cell>
        </row>
        <row r="40">
          <cell r="C40">
            <v>3726.1559999999995</v>
          </cell>
        </row>
        <row r="41">
          <cell r="C41">
            <v>0</v>
          </cell>
        </row>
        <row r="43">
          <cell r="C43">
            <v>3676.8899999999994</v>
          </cell>
        </row>
        <row r="44">
          <cell r="C44">
            <v>1.0133988234622195</v>
          </cell>
        </row>
        <row r="45">
          <cell r="C45">
            <v>0</v>
          </cell>
          <cell r="G45">
            <v>58.8</v>
          </cell>
        </row>
        <row r="46">
          <cell r="C46">
            <v>-1.3398823462219437E-2</v>
          </cell>
          <cell r="G46">
            <v>-49.26600000000002</v>
          </cell>
        </row>
        <row r="47">
          <cell r="C47">
            <v>6.5043375018561889E-2</v>
          </cell>
        </row>
        <row r="56">
          <cell r="G56">
            <v>3676.8899999999994</v>
          </cell>
        </row>
      </sheetData>
      <sheetData sheetId="15" refreshError="1"/>
      <sheetData sheetId="16" refreshError="1"/>
      <sheetData sheetId="17" refreshError="1"/>
      <sheetData sheetId="18" refreshError="1"/>
      <sheetData sheetId="19" refreshError="1">
        <row r="19">
          <cell r="J19">
            <v>25.63</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Disclosures All"/>
      <sheetName val="Inputs"/>
      <sheetName val="Index"/>
      <sheetName val="RankingBarCharts"/>
      <sheetName val="ScatterCharts"/>
      <sheetName val="Val_MW"/>
      <sheetName val="CoreMetrics_MW"/>
      <sheetName val="Perf_MW"/>
      <sheetName val="Valuation"/>
      <sheetName val="Performance"/>
      <sheetName val="CoreMetrics"/>
      <sheetName val="__FDSCACHE__"/>
      <sheetName val="IBES"/>
      <sheetName val="Team"/>
      <sheetName val="Nitro"/>
      <sheetName val="Analysis"/>
      <sheetName val="Euromonitor_Australia"/>
      <sheetName val="Rev_Profit_Mix"/>
      <sheetName val="GeoRev"/>
      <sheetName val="GeoProfit"/>
      <sheetName val="ProdMix"/>
      <sheetName val="ChannelMix"/>
      <sheetName val="GrowthRates"/>
      <sheetName val="Brands"/>
      <sheetName val="BubChart"/>
      <sheetName val="Raw Data"/>
      <sheetName val="Europe - LC Sales Growth"/>
      <sheetName val="Euro Model"/>
    </sheetNames>
    <sheetDataSet>
      <sheetData sheetId="0" refreshError="1"/>
      <sheetData sheetId="1" refreshError="1">
        <row r="2">
          <cell r="B2">
            <v>1</v>
          </cell>
          <cell r="C2" t="str">
            <v>RKY.N</v>
          </cell>
          <cell r="E2" t="e">
            <v>#NAME?</v>
          </cell>
          <cell r="F2" t="e">
            <v>#NAME?</v>
          </cell>
          <cell r="G2" t="e">
            <v>#NAME?</v>
          </cell>
          <cell r="K2">
            <v>8000</v>
          </cell>
        </row>
        <row r="3">
          <cell r="B3">
            <v>2</v>
          </cell>
          <cell r="C3" t="str">
            <v>ALLD.L</v>
          </cell>
          <cell r="E3" t="e">
            <v>#NAME?</v>
          </cell>
          <cell r="F3" t="e">
            <v>#NAME?</v>
          </cell>
          <cell r="G3" t="e">
            <v>#NAME?</v>
          </cell>
          <cell r="K3">
            <v>9000</v>
          </cell>
        </row>
        <row r="4">
          <cell r="B4">
            <v>3</v>
          </cell>
          <cell r="C4" t="str">
            <v>ALT.MC</v>
          </cell>
          <cell r="E4" t="e">
            <v>#NAME?</v>
          </cell>
          <cell r="F4" t="e">
            <v>#NAME?</v>
          </cell>
          <cell r="G4" t="e">
            <v>#NAME?</v>
          </cell>
          <cell r="K4">
            <v>10000</v>
          </cell>
        </row>
        <row r="5">
          <cell r="B5">
            <v>4</v>
          </cell>
          <cell r="C5" t="str">
            <v>MO.N</v>
          </cell>
          <cell r="E5" t="e">
            <v>#NAME?</v>
          </cell>
          <cell r="F5" t="e">
            <v>#NAME?</v>
          </cell>
          <cell r="G5" t="e">
            <v>#NAME?</v>
          </cell>
          <cell r="K5">
            <v>11000</v>
          </cell>
        </row>
        <row r="6">
          <cell r="B6">
            <v>5</v>
          </cell>
          <cell r="C6" t="str">
            <v>BUD.N</v>
          </cell>
          <cell r="E6" t="e">
            <v>#NAME?</v>
          </cell>
          <cell r="F6" t="e">
            <v>#NAME?</v>
          </cell>
          <cell r="G6" t="e">
            <v>#NAME?</v>
          </cell>
          <cell r="K6">
            <v>12000</v>
          </cell>
        </row>
        <row r="7">
          <cell r="B7">
            <v>6</v>
          </cell>
          <cell r="C7" t="str">
            <v>BATS.L</v>
          </cell>
          <cell r="E7" t="e">
            <v>#NAME?</v>
          </cell>
          <cell r="F7" t="e">
            <v>#NAME?</v>
          </cell>
          <cell r="G7" t="e">
            <v>#NAME?</v>
          </cell>
          <cell r="K7">
            <v>13000</v>
          </cell>
        </row>
        <row r="8">
          <cell r="B8">
            <v>7</v>
          </cell>
          <cell r="C8" t="str">
            <v>BEIG.DE</v>
          </cell>
          <cell r="E8" t="e">
            <v>#NAME?</v>
          </cell>
          <cell r="F8" t="e">
            <v>#NAME?</v>
          </cell>
          <cell r="G8" t="e">
            <v>#NAME?</v>
          </cell>
          <cell r="K8">
            <v>14000</v>
          </cell>
        </row>
        <row r="9">
          <cell r="B9">
            <v>8</v>
          </cell>
          <cell r="C9" t="str">
            <v>CBRY.L</v>
          </cell>
          <cell r="E9" t="e">
            <v>#NAME?</v>
          </cell>
          <cell r="F9" t="e">
            <v>#NAME?</v>
          </cell>
          <cell r="G9" t="e">
            <v>#NAME?</v>
          </cell>
          <cell r="K9">
            <v>15000</v>
          </cell>
        </row>
        <row r="10">
          <cell r="B10">
            <v>9</v>
          </cell>
          <cell r="C10" t="str">
            <v>CPB.N</v>
          </cell>
          <cell r="E10" t="e">
            <v>#NAME?</v>
          </cell>
          <cell r="F10" t="e">
            <v>#NAME?</v>
          </cell>
          <cell r="G10" t="e">
            <v>#NAME?</v>
          </cell>
          <cell r="K10">
            <v>16000</v>
          </cell>
        </row>
        <row r="11">
          <cell r="B11">
            <v>10</v>
          </cell>
          <cell r="C11" t="str">
            <v>CG.N</v>
          </cell>
          <cell r="E11" t="e">
            <v>#NAME?</v>
          </cell>
          <cell r="F11" t="e">
            <v>#NAME?</v>
          </cell>
          <cell r="G11" t="e">
            <v>#NAME?</v>
          </cell>
        </row>
        <row r="12">
          <cell r="B12">
            <v>11</v>
          </cell>
          <cell r="C12" t="str">
            <v>CCL.AX</v>
          </cell>
          <cell r="E12" t="e">
            <v>#NAME?</v>
          </cell>
          <cell r="F12" t="e">
            <v>#NAME?</v>
          </cell>
          <cell r="G12" t="e">
            <v>#NAME?</v>
          </cell>
        </row>
        <row r="13">
          <cell r="B13">
            <v>12</v>
          </cell>
          <cell r="C13" t="str">
            <v>KO.N</v>
          </cell>
          <cell r="E13" t="e">
            <v>#NAME?</v>
          </cell>
          <cell r="F13" t="e">
            <v>#NAME?</v>
          </cell>
          <cell r="G13" t="e">
            <v>#NAME?</v>
          </cell>
        </row>
        <row r="14">
          <cell r="B14">
            <v>13</v>
          </cell>
          <cell r="C14" t="str">
            <v>CCE.N</v>
          </cell>
          <cell r="E14" t="e">
            <v>#NAME?</v>
          </cell>
          <cell r="F14" t="e">
            <v>#NAME?</v>
          </cell>
          <cell r="G14" t="e">
            <v>#NAME?</v>
          </cell>
        </row>
        <row r="15">
          <cell r="B15">
            <v>14</v>
          </cell>
          <cell r="C15" t="str">
            <v>CL.N</v>
          </cell>
          <cell r="E15" t="e">
            <v>#NAME?</v>
          </cell>
          <cell r="F15" t="e">
            <v>#NAME?</v>
          </cell>
          <cell r="G15" t="e">
            <v>#NAME?</v>
          </cell>
        </row>
        <row r="16">
          <cell r="B16">
            <v>15</v>
          </cell>
          <cell r="C16" t="str">
            <v>DANO.PA</v>
          </cell>
          <cell r="E16" t="e">
            <v>#NAME?</v>
          </cell>
          <cell r="F16" t="e">
            <v>#NAME?</v>
          </cell>
          <cell r="G16" t="e">
            <v>#NAME?</v>
          </cell>
        </row>
        <row r="17">
          <cell r="B17">
            <v>16</v>
          </cell>
          <cell r="C17" t="str">
            <v>DF.N</v>
          </cell>
          <cell r="E17" t="e">
            <v>#NAME?</v>
          </cell>
          <cell r="F17" t="e">
            <v>#NAME?</v>
          </cell>
          <cell r="G17" t="e">
            <v>#NAME?</v>
          </cell>
        </row>
        <row r="18">
          <cell r="B18">
            <v>17</v>
          </cell>
          <cell r="C18" t="str">
            <v>DGE.L</v>
          </cell>
          <cell r="E18" t="e">
            <v>#NAME?</v>
          </cell>
          <cell r="F18" t="e">
            <v>#NAME?</v>
          </cell>
          <cell r="G18" t="e">
            <v>#NAME?</v>
          </cell>
        </row>
        <row r="19">
          <cell r="B19">
            <v>18</v>
          </cell>
          <cell r="C19" t="str">
            <v>FGL.AX</v>
          </cell>
          <cell r="E19" t="e">
            <v>#NAME?</v>
          </cell>
          <cell r="F19" t="e">
            <v>#NAME?</v>
          </cell>
          <cell r="G19" t="e">
            <v>#NAME?</v>
          </cell>
        </row>
        <row r="20">
          <cell r="B20">
            <v>19</v>
          </cell>
          <cell r="C20" t="str">
            <v>GLH.L</v>
          </cell>
          <cell r="E20" t="e">
            <v>#NAME?</v>
          </cell>
          <cell r="F20" t="e">
            <v>#NAME?</v>
          </cell>
          <cell r="G20" t="e">
            <v>#NAME?</v>
          </cell>
        </row>
        <row r="21">
          <cell r="B21">
            <v>20</v>
          </cell>
          <cell r="C21" t="str">
            <v>GIS.N</v>
          </cell>
          <cell r="E21" t="e">
            <v>#NAME?</v>
          </cell>
          <cell r="F21" t="e">
            <v>#NAME?</v>
          </cell>
          <cell r="G21" t="e">
            <v>#NAME?</v>
          </cell>
        </row>
        <row r="22">
          <cell r="B22">
            <v>21</v>
          </cell>
          <cell r="C22" t="str">
            <v>G.N</v>
          </cell>
          <cell r="E22" t="e">
            <v>#NAME?</v>
          </cell>
          <cell r="F22" t="e">
            <v>#NAME?</v>
          </cell>
          <cell r="G22" t="e">
            <v>#NAME?</v>
          </cell>
        </row>
        <row r="23">
          <cell r="B23">
            <v>22</v>
          </cell>
          <cell r="C23" t="str">
            <v>HEIN.AS</v>
          </cell>
          <cell r="E23" t="e">
            <v>#NAME?</v>
          </cell>
          <cell r="F23" t="e">
            <v>#NAME?</v>
          </cell>
          <cell r="G23" t="e">
            <v>#NAME?</v>
          </cell>
        </row>
        <row r="24">
          <cell r="B24">
            <v>23</v>
          </cell>
          <cell r="C24" t="str">
            <v>HSY.N</v>
          </cell>
          <cell r="E24" t="e">
            <v>#NAME?</v>
          </cell>
          <cell r="F24" t="e">
            <v>#NAME?</v>
          </cell>
          <cell r="G24" t="e">
            <v>#NAME?</v>
          </cell>
        </row>
        <row r="25">
          <cell r="B25">
            <v>24</v>
          </cell>
          <cell r="C25" t="str">
            <v>IMT.L</v>
          </cell>
          <cell r="E25" t="e">
            <v>#NAME?</v>
          </cell>
          <cell r="F25" t="e">
            <v>#NAME?</v>
          </cell>
          <cell r="G25" t="e">
            <v>#NAME?</v>
          </cell>
        </row>
        <row r="26">
          <cell r="B26">
            <v>25</v>
          </cell>
          <cell r="C26" t="str">
            <v>INTB.BR</v>
          </cell>
          <cell r="E26" t="e">
            <v>#NAME?</v>
          </cell>
          <cell r="F26" t="e">
            <v>#NAME?</v>
          </cell>
          <cell r="G26" t="e">
            <v>#NAME?</v>
          </cell>
        </row>
        <row r="27">
          <cell r="B27">
            <v>26</v>
          </cell>
          <cell r="C27" t="str">
            <v>K.N</v>
          </cell>
          <cell r="E27" t="e">
            <v>#NAME?</v>
          </cell>
          <cell r="F27" t="e">
            <v>#NAME?</v>
          </cell>
          <cell r="G27" t="e">
            <v>#NAME?</v>
          </cell>
        </row>
        <row r="28">
          <cell r="B28">
            <v>27</v>
          </cell>
          <cell r="C28" t="str">
            <v>KMB.N</v>
          </cell>
          <cell r="E28" t="e">
            <v>#NAME?</v>
          </cell>
          <cell r="F28" t="e">
            <v>#NAME?</v>
          </cell>
          <cell r="G28" t="e">
            <v>#NAME?</v>
          </cell>
        </row>
        <row r="29">
          <cell r="B29">
            <v>28</v>
          </cell>
          <cell r="C29" t="str">
            <v>KFT.N</v>
          </cell>
          <cell r="E29" t="e">
            <v>#NAME?</v>
          </cell>
          <cell r="F29" t="e">
            <v>#NAME?</v>
          </cell>
          <cell r="G29" t="e">
            <v>#NAME?</v>
          </cell>
        </row>
        <row r="30">
          <cell r="B30">
            <v>29</v>
          </cell>
          <cell r="C30" t="str">
            <v>LNN.AX</v>
          </cell>
          <cell r="E30" t="e">
            <v>#NAME?</v>
          </cell>
          <cell r="F30" t="e">
            <v>#NAME?</v>
          </cell>
          <cell r="G30" t="e">
            <v>#NAME?</v>
          </cell>
        </row>
        <row r="31">
          <cell r="B31">
            <v>30</v>
          </cell>
          <cell r="C31" t="str">
            <v>OREP.PA</v>
          </cell>
          <cell r="E31" t="e">
            <v>#NAME?</v>
          </cell>
          <cell r="F31" t="e">
            <v>#NAME?</v>
          </cell>
          <cell r="G31" t="e">
            <v>#NAME?</v>
          </cell>
        </row>
        <row r="32">
          <cell r="B32">
            <v>31</v>
          </cell>
          <cell r="C32" t="str">
            <v>NESN.VX</v>
          </cell>
          <cell r="E32" t="e">
            <v>#NAME?</v>
          </cell>
          <cell r="F32" t="e">
            <v>#NAME?</v>
          </cell>
          <cell r="G32" t="e">
            <v>#NAME?</v>
          </cell>
        </row>
        <row r="33">
          <cell r="B33">
            <v>32</v>
          </cell>
          <cell r="C33" t="str">
            <v>PBG.N</v>
          </cell>
          <cell r="E33" t="e">
            <v>#NAME?</v>
          </cell>
          <cell r="F33" t="e">
            <v>#NAME?</v>
          </cell>
          <cell r="G33" t="e">
            <v>#NAME?</v>
          </cell>
        </row>
        <row r="34">
          <cell r="B34">
            <v>33</v>
          </cell>
          <cell r="C34" t="str">
            <v>PEP.N</v>
          </cell>
          <cell r="E34" t="e">
            <v>#NAME?</v>
          </cell>
          <cell r="F34" t="e">
            <v>#NAME?</v>
          </cell>
          <cell r="G34" t="e">
            <v>#NAME?</v>
          </cell>
        </row>
        <row r="35">
          <cell r="B35">
            <v>34</v>
          </cell>
          <cell r="C35" t="str">
            <v>PERP.PA</v>
          </cell>
          <cell r="E35" t="e">
            <v>#NAME?</v>
          </cell>
          <cell r="F35" t="e">
            <v>#NAME?</v>
          </cell>
          <cell r="G35" t="e">
            <v>#NAME?</v>
          </cell>
        </row>
        <row r="36">
          <cell r="B36">
            <v>35</v>
          </cell>
          <cell r="C36" t="str">
            <v>PG.N</v>
          </cell>
          <cell r="E36" t="e">
            <v>#NAME?</v>
          </cell>
          <cell r="F36" t="e">
            <v>#NAME?</v>
          </cell>
          <cell r="G36" t="e">
            <v>#NAME?</v>
          </cell>
        </row>
        <row r="37">
          <cell r="B37">
            <v>36</v>
          </cell>
          <cell r="C37" t="str">
            <v>RB.L</v>
          </cell>
          <cell r="E37" t="e">
            <v>#NAME?</v>
          </cell>
          <cell r="F37" t="e">
            <v>#NAME?</v>
          </cell>
          <cell r="G37" t="e">
            <v>#NAME?</v>
          </cell>
        </row>
        <row r="38">
          <cell r="B38">
            <v>37</v>
          </cell>
          <cell r="C38" t="str">
            <v>RCOP.PA</v>
          </cell>
          <cell r="E38" t="e">
            <v>#NAME?</v>
          </cell>
          <cell r="F38" t="e">
            <v>#NAME?</v>
          </cell>
          <cell r="G38" t="e">
            <v>#NAME?</v>
          </cell>
        </row>
        <row r="39">
          <cell r="B39">
            <v>38</v>
          </cell>
          <cell r="C39" t="str">
            <v>RJR.N</v>
          </cell>
          <cell r="E39" t="e">
            <v>#NAME?</v>
          </cell>
          <cell r="F39" t="e">
            <v>#NAME?</v>
          </cell>
          <cell r="G39" t="e">
            <v>#NAME?</v>
          </cell>
        </row>
        <row r="40">
          <cell r="B40">
            <v>39</v>
          </cell>
          <cell r="C40" t="str">
            <v>SAB.L</v>
          </cell>
          <cell r="E40" t="e">
            <v>#NAME?</v>
          </cell>
          <cell r="F40" t="e">
            <v>#NAME?</v>
          </cell>
          <cell r="G40" t="e">
            <v>#NAME?</v>
          </cell>
        </row>
        <row r="41">
          <cell r="B41">
            <v>40</v>
          </cell>
          <cell r="C41" t="str">
            <v>SLE.N</v>
          </cell>
          <cell r="E41" t="e">
            <v>#NAME?</v>
          </cell>
          <cell r="F41" t="e">
            <v>#NAME?</v>
          </cell>
          <cell r="G41" t="e">
            <v>#NAME?</v>
          </cell>
        </row>
        <row r="42">
          <cell r="B42">
            <v>41</v>
          </cell>
          <cell r="C42" t="str">
            <v>SRP.AX</v>
          </cell>
          <cell r="E42" t="e">
            <v>#NAME?</v>
          </cell>
          <cell r="F42" t="e">
            <v>#NAME?</v>
          </cell>
          <cell r="G42" t="e">
            <v>#NAME?</v>
          </cell>
        </row>
        <row r="43">
          <cell r="B43">
            <v>42</v>
          </cell>
          <cell r="C43" t="str">
            <v>SWMA.ST</v>
          </cell>
          <cell r="E43" t="e">
            <v>#NAME?</v>
          </cell>
          <cell r="F43" t="e">
            <v>#NAME?</v>
          </cell>
          <cell r="G43" t="e">
            <v>#NAME?</v>
          </cell>
        </row>
        <row r="44">
          <cell r="B44">
            <v>43</v>
          </cell>
          <cell r="C44" t="str">
            <v>0322.HK</v>
          </cell>
          <cell r="E44" t="e">
            <v>#NAME?</v>
          </cell>
          <cell r="F44" t="e">
            <v>#NAME?</v>
          </cell>
          <cell r="G44" t="e">
            <v>#NAME?</v>
          </cell>
        </row>
        <row r="45">
          <cell r="B45">
            <v>44</v>
          </cell>
          <cell r="C45" t="str">
            <v>0168.HK</v>
          </cell>
          <cell r="E45" t="e">
            <v>#NAME?</v>
          </cell>
          <cell r="F45" t="e">
            <v>#NAME?</v>
          </cell>
          <cell r="G45" t="e">
            <v>#NAME?</v>
          </cell>
        </row>
        <row r="46">
          <cell r="B46">
            <v>45</v>
          </cell>
          <cell r="C46" t="str">
            <v>ULVR.L</v>
          </cell>
          <cell r="E46" t="e">
            <v>#NAME?</v>
          </cell>
          <cell r="F46" t="e">
            <v>#NAME?</v>
          </cell>
          <cell r="G46" t="e">
            <v>#NAME?</v>
          </cell>
        </row>
        <row r="47">
          <cell r="B47">
            <v>46</v>
          </cell>
          <cell r="C47" t="str">
            <v>UST.N</v>
          </cell>
          <cell r="E47" t="e">
            <v>#NAME?</v>
          </cell>
          <cell r="F47" t="e">
            <v>#NAME?</v>
          </cell>
          <cell r="G47" t="e">
            <v>#NAME?</v>
          </cell>
        </row>
        <row r="49">
          <cell r="B49" t="str">
            <v>Additional companies in the Modelware database to be added into the Compsheet.</v>
          </cell>
        </row>
        <row r="50">
          <cell r="B50">
            <v>47</v>
          </cell>
          <cell r="C50" t="str">
            <v>CARLb.CO</v>
          </cell>
          <cell r="E50" t="e">
            <v>#NAME?</v>
          </cell>
          <cell r="F50" t="e">
            <v>#NAME?</v>
          </cell>
          <cell r="G50">
            <v>416921</v>
          </cell>
        </row>
        <row r="51">
          <cell r="B51">
            <v>48</v>
          </cell>
          <cell r="C51" t="str">
            <v>SCTN.L</v>
          </cell>
          <cell r="E51" t="e">
            <v>#NAME?</v>
          </cell>
          <cell r="F51" t="e">
            <v>#NAME?</v>
          </cell>
          <cell r="G51" t="str">
            <v>078396</v>
          </cell>
        </row>
        <row r="52">
          <cell r="B52">
            <v>49</v>
          </cell>
          <cell r="C52" t="str">
            <v>UNc.AS</v>
          </cell>
          <cell r="E52" t="e">
            <v>#NAME?</v>
          </cell>
          <cell r="F52" t="e">
            <v>#NAME?</v>
          </cell>
          <cell r="G52" t="str">
            <v>564089</v>
          </cell>
        </row>
        <row r="53">
          <cell r="B53">
            <v>50</v>
          </cell>
          <cell r="C53" t="str">
            <v>0249.HK</v>
          </cell>
          <cell r="E53" t="e">
            <v>#NAME?</v>
          </cell>
          <cell r="F53" t="e">
            <v>#NAME?</v>
          </cell>
          <cell r="G53">
            <v>653153</v>
          </cell>
        </row>
        <row r="54">
          <cell r="B54">
            <v>51</v>
          </cell>
          <cell r="C54" t="str">
            <v>2502.T</v>
          </cell>
          <cell r="E54" t="e">
            <v>#NAME?</v>
          </cell>
          <cell r="F54" t="e">
            <v>#NAME?</v>
          </cell>
          <cell r="G54">
            <v>2502</v>
          </cell>
        </row>
        <row r="55">
          <cell r="B55">
            <v>52</v>
          </cell>
          <cell r="C55" t="str">
            <v>2914.T</v>
          </cell>
          <cell r="E55" t="e">
            <v>#NAME?</v>
          </cell>
          <cell r="F55" t="e">
            <v>#NAME?</v>
          </cell>
          <cell r="G55">
            <v>2914</v>
          </cell>
        </row>
        <row r="56">
          <cell r="B56">
            <v>53</v>
          </cell>
          <cell r="C56" t="str">
            <v>2593.T</v>
          </cell>
          <cell r="E56" t="e">
            <v>#NAME?</v>
          </cell>
          <cell r="F56" t="e">
            <v>#NAME?</v>
          </cell>
          <cell r="G56">
            <v>2593</v>
          </cell>
        </row>
        <row r="57">
          <cell r="B57">
            <v>54</v>
          </cell>
          <cell r="C57" t="str">
            <v>2531.T</v>
          </cell>
          <cell r="E57" t="e">
            <v>#NAME?</v>
          </cell>
          <cell r="F57" t="e">
            <v>#NAME?</v>
          </cell>
          <cell r="G57">
            <v>2531</v>
          </cell>
        </row>
        <row r="58">
          <cell r="B58">
            <v>55</v>
          </cell>
          <cell r="C58" t="str">
            <v>4452.T</v>
          </cell>
          <cell r="E58" t="e">
            <v>#NAME?</v>
          </cell>
          <cell r="F58" t="e">
            <v>#NAME?</v>
          </cell>
          <cell r="G58">
            <v>4452</v>
          </cell>
        </row>
        <row r="59">
          <cell r="B59">
            <v>56</v>
          </cell>
          <cell r="C59" t="str">
            <v>HLL.BO</v>
          </cell>
          <cell r="E59" t="e">
            <v>#NAME?</v>
          </cell>
          <cell r="F59" t="e">
            <v>#NAME?</v>
          </cell>
          <cell r="G59">
            <v>626167</v>
          </cell>
        </row>
        <row r="60">
          <cell r="B60">
            <v>57</v>
          </cell>
          <cell r="C60" t="str">
            <v>COLG.BO</v>
          </cell>
          <cell r="E60" t="e">
            <v>#NAME?</v>
          </cell>
          <cell r="F60" t="e">
            <v>#NAME?</v>
          </cell>
          <cell r="G60">
            <v>613969</v>
          </cell>
        </row>
        <row r="61">
          <cell r="B61">
            <v>58</v>
          </cell>
          <cell r="C61" t="str">
            <v>ITC .BO</v>
          </cell>
          <cell r="E61" t="e">
            <v>#NAME?</v>
          </cell>
          <cell r="F61" t="e">
            <v>#NAME?</v>
          </cell>
          <cell r="G61">
            <v>612461</v>
          </cell>
        </row>
        <row r="62">
          <cell r="B62">
            <v>59</v>
          </cell>
          <cell r="C62" t="str">
            <v>TTTE.BO</v>
          </cell>
          <cell r="E62" t="e">
            <v>#NAME?</v>
          </cell>
          <cell r="F62" t="e">
            <v>#NAME?</v>
          </cell>
          <cell r="G62" t="str">
            <v>612148</v>
          </cell>
        </row>
        <row r="63">
          <cell r="B63">
            <v>60</v>
          </cell>
          <cell r="C63" t="str">
            <v>NEST.BO</v>
          </cell>
          <cell r="E63" t="e">
            <v>#NAME?</v>
          </cell>
          <cell r="F63" t="e">
            <v>#NAME?</v>
          </cell>
          <cell r="G63">
            <v>612860</v>
          </cell>
        </row>
        <row r="64">
          <cell r="B64">
            <v>61</v>
          </cell>
          <cell r="C64" t="str">
            <v>LQU.N</v>
          </cell>
          <cell r="E64" t="e">
            <v>#NAME?</v>
          </cell>
          <cell r="F64" t="e">
            <v>#NAME?</v>
          </cell>
          <cell r="G64" t="str">
            <v>lqu</v>
          </cell>
        </row>
        <row r="65">
          <cell r="B65">
            <v>62</v>
          </cell>
          <cell r="C65" t="str">
            <v>ABV.N</v>
          </cell>
          <cell r="E65" t="e">
            <v>#NAME?</v>
          </cell>
          <cell r="F65" t="e">
            <v>#NAME?</v>
          </cell>
          <cell r="G65" t="str">
            <v>abv</v>
          </cell>
        </row>
        <row r="66">
          <cell r="B66">
            <v>63</v>
          </cell>
          <cell r="C66" t="str">
            <v>GMODELOC.MX</v>
          </cell>
          <cell r="E66" t="e">
            <v>#NAME?</v>
          </cell>
          <cell r="F66" t="e">
            <v>#NAME?</v>
          </cell>
          <cell r="G66">
            <v>238053</v>
          </cell>
        </row>
        <row r="67">
          <cell r="B67">
            <v>64</v>
          </cell>
          <cell r="C67" t="str">
            <v>FMX.N</v>
          </cell>
          <cell r="E67" t="e">
            <v>#NAME?</v>
          </cell>
          <cell r="F67" t="e">
            <v>#NAME?</v>
          </cell>
          <cell r="G67" t="str">
            <v>fmx</v>
          </cell>
        </row>
        <row r="69">
          <cell r="B69" t="str">
            <v>Additional companies not in Modelware database but covered by analyst to be added into the Compsheet</v>
          </cell>
        </row>
        <row r="70">
          <cell r="B70">
            <v>65</v>
          </cell>
          <cell r="C70" t="str">
            <v>2802.T</v>
          </cell>
          <cell r="G70">
            <v>2802</v>
          </cell>
        </row>
        <row r="71">
          <cell r="B71">
            <v>66</v>
          </cell>
          <cell r="C71" t="str">
            <v>KOF.N</v>
          </cell>
          <cell r="G71" t="str">
            <v>kof</v>
          </cell>
        </row>
        <row r="72">
          <cell r="B72">
            <v>67</v>
          </cell>
          <cell r="C72" t="str">
            <v>2579.T</v>
          </cell>
          <cell r="G72">
            <v>2579</v>
          </cell>
        </row>
        <row r="73">
          <cell r="B73">
            <v>68</v>
          </cell>
          <cell r="C73" t="str">
            <v>AKOb.N</v>
          </cell>
          <cell r="G73" t="str">
            <v>231144</v>
          </cell>
        </row>
        <row r="74">
          <cell r="B74">
            <v>69</v>
          </cell>
          <cell r="C74" t="str">
            <v>2607.T</v>
          </cell>
          <cell r="G74">
            <v>2607</v>
          </cell>
        </row>
        <row r="75">
          <cell r="B75">
            <v>70</v>
          </cell>
          <cell r="C75" t="str">
            <v>2801.T</v>
          </cell>
          <cell r="G75">
            <v>2801</v>
          </cell>
        </row>
        <row r="76">
          <cell r="B76">
            <v>71</v>
          </cell>
          <cell r="C76" t="str">
            <v>2503.T</v>
          </cell>
          <cell r="G76">
            <v>2595</v>
          </cell>
        </row>
        <row r="77">
          <cell r="B77">
            <v>72</v>
          </cell>
          <cell r="C77" t="str">
            <v>2595.T</v>
          </cell>
          <cell r="G77">
            <v>2503</v>
          </cell>
        </row>
        <row r="78">
          <cell r="B78">
            <v>73</v>
          </cell>
          <cell r="C78" t="str">
            <v>2572.T</v>
          </cell>
          <cell r="G78">
            <v>2572</v>
          </cell>
        </row>
        <row r="79">
          <cell r="B79">
            <v>74</v>
          </cell>
          <cell r="C79" t="str">
            <v>2282.T</v>
          </cell>
          <cell r="G79">
            <v>2282</v>
          </cell>
        </row>
        <row r="80">
          <cell r="B80">
            <v>75</v>
          </cell>
          <cell r="C80" t="str">
            <v>2596.T</v>
          </cell>
          <cell r="G80">
            <v>2596</v>
          </cell>
        </row>
        <row r="81">
          <cell r="B81">
            <v>76</v>
          </cell>
          <cell r="C81" t="str">
            <v>2501.T</v>
          </cell>
          <cell r="G81">
            <v>2501</v>
          </cell>
        </row>
        <row r="83">
          <cell r="B83" t="str">
            <v>Additional companies in old compsheet which are not covered by analyst to be added into the Compsheet</v>
          </cell>
        </row>
        <row r="84">
          <cell r="B84">
            <v>77</v>
          </cell>
          <cell r="C84" t="str">
            <v>AVP.N</v>
          </cell>
          <cell r="G84" t="str">
            <v>avp</v>
          </cell>
        </row>
        <row r="85">
          <cell r="B85">
            <v>78</v>
          </cell>
          <cell r="C85" t="str">
            <v>CLRP.PA</v>
          </cell>
          <cell r="G85">
            <v>420219</v>
          </cell>
        </row>
        <row r="86">
          <cell r="B86">
            <v>79</v>
          </cell>
          <cell r="C86" t="str">
            <v>CLX.N</v>
          </cell>
          <cell r="G86" t="str">
            <v>clx</v>
          </cell>
        </row>
        <row r="87">
          <cell r="B87">
            <v>80</v>
          </cell>
          <cell r="C87" t="str">
            <v>EL.N</v>
          </cell>
          <cell r="G87" t="str">
            <v>el</v>
          </cell>
        </row>
        <row r="88">
          <cell r="B88">
            <v>81</v>
          </cell>
          <cell r="C88" t="str">
            <v>HNZ.N</v>
          </cell>
          <cell r="G88" t="str">
            <v>hnz</v>
          </cell>
        </row>
        <row r="89">
          <cell r="B89">
            <v>82</v>
          </cell>
          <cell r="C89" t="str">
            <v>HNKG_p.DE</v>
          </cell>
          <cell r="G89" t="str">
            <v>507670</v>
          </cell>
        </row>
        <row r="90">
          <cell r="B90">
            <v>83</v>
          </cell>
          <cell r="C90" t="str">
            <v>IFF.N</v>
          </cell>
          <cell r="G90" t="str">
            <v>iff</v>
          </cell>
        </row>
        <row r="91">
          <cell r="B91">
            <v>84</v>
          </cell>
          <cell r="C91" t="str">
            <v>NWL.N</v>
          </cell>
          <cell r="G91" t="str">
            <v>NWL</v>
          </cell>
        </row>
        <row r="92">
          <cell r="B92">
            <v>85</v>
          </cell>
          <cell r="C92" t="str">
            <v>WTW.N</v>
          </cell>
          <cell r="G92" t="str">
            <v>WTW</v>
          </cell>
        </row>
      </sheetData>
      <sheetData sheetId="2" refreshError="1"/>
      <sheetData sheetId="3" refreshError="1">
        <row r="4">
          <cell r="P4" t="str">
            <v>Asia/Pacific</v>
          </cell>
          <cell r="Q4" t="str">
            <v>Asia/Pacific</v>
          </cell>
          <cell r="R4" t="str">
            <v>Asia/Pacific</v>
          </cell>
          <cell r="S4" t="str">
            <v>Asia/Pacific</v>
          </cell>
          <cell r="T4" t="str">
            <v>Europe</v>
          </cell>
          <cell r="U4" t="str">
            <v>Europe</v>
          </cell>
          <cell r="V4" t="str">
            <v>Europe</v>
          </cell>
          <cell r="W4" t="str">
            <v>Europe</v>
          </cell>
          <cell r="X4" t="str">
            <v>North America</v>
          </cell>
          <cell r="Y4" t="str">
            <v>North America</v>
          </cell>
          <cell r="Z4" t="str">
            <v>North America</v>
          </cell>
          <cell r="AA4" t="str">
            <v>North America</v>
          </cell>
        </row>
        <row r="5">
          <cell r="N5">
            <v>0</v>
          </cell>
        </row>
        <row r="6">
          <cell r="N6">
            <v>-1</v>
          </cell>
        </row>
        <row r="7">
          <cell r="N7">
            <v>-2</v>
          </cell>
        </row>
        <row r="8">
          <cell r="N8">
            <v>-3</v>
          </cell>
        </row>
        <row r="9">
          <cell r="N9">
            <v>-4</v>
          </cell>
        </row>
        <row r="10">
          <cell r="N10">
            <v>-5</v>
          </cell>
        </row>
        <row r="11">
          <cell r="N11">
            <v>-6</v>
          </cell>
        </row>
        <row r="12">
          <cell r="N12">
            <v>-7</v>
          </cell>
        </row>
        <row r="13">
          <cell r="N13">
            <v>-8</v>
          </cell>
        </row>
        <row r="14">
          <cell r="N14">
            <v>-9</v>
          </cell>
        </row>
        <row r="15">
          <cell r="N15" t="str">
            <v/>
          </cell>
        </row>
        <row r="16">
          <cell r="N16" t="str">
            <v/>
          </cell>
        </row>
        <row r="17">
          <cell r="N17" t="str">
            <v/>
          </cell>
        </row>
        <row r="18">
          <cell r="N18" t="str">
            <v/>
          </cell>
        </row>
        <row r="19">
          <cell r="N19" t="str">
            <v/>
          </cell>
        </row>
        <row r="20">
          <cell r="N20" t="str">
            <v/>
          </cell>
        </row>
        <row r="21">
          <cell r="N21" t="str">
            <v/>
          </cell>
        </row>
        <row r="22">
          <cell r="N22" t="str">
            <v/>
          </cell>
        </row>
        <row r="23">
          <cell r="N23" t="str">
            <v/>
          </cell>
        </row>
        <row r="24">
          <cell r="N24" t="str">
            <v/>
          </cell>
        </row>
        <row r="25">
          <cell r="N25" t="str">
            <v/>
          </cell>
        </row>
        <row r="26">
          <cell r="N26" t="str">
            <v/>
          </cell>
        </row>
        <row r="27">
          <cell r="N27" t="str">
            <v/>
          </cell>
        </row>
        <row r="28">
          <cell r="N28" t="str">
            <v/>
          </cell>
        </row>
        <row r="29">
          <cell r="N29" t="str">
            <v/>
          </cell>
        </row>
        <row r="30">
          <cell r="N30" t="str">
            <v/>
          </cell>
        </row>
        <row r="31">
          <cell r="N31" t="str">
            <v/>
          </cell>
        </row>
        <row r="32">
          <cell r="N32" t="str">
            <v/>
          </cell>
        </row>
        <row r="33">
          <cell r="N33" t="str">
            <v/>
          </cell>
        </row>
        <row r="34">
          <cell r="N34" t="str">
            <v/>
          </cell>
        </row>
        <row r="35">
          <cell r="N35" t="str">
            <v/>
          </cell>
        </row>
        <row r="36">
          <cell r="N36" t="str">
            <v/>
          </cell>
        </row>
        <row r="37">
          <cell r="N37" t="str">
            <v/>
          </cell>
        </row>
        <row r="38">
          <cell r="N38" t="str">
            <v/>
          </cell>
        </row>
        <row r="39">
          <cell r="N39" t="str">
            <v/>
          </cell>
        </row>
        <row r="40">
          <cell r="N40" t="str">
            <v/>
          </cell>
        </row>
        <row r="41">
          <cell r="N41" t="str">
            <v/>
          </cell>
        </row>
        <row r="42">
          <cell r="N42" t="str">
            <v/>
          </cell>
        </row>
        <row r="43">
          <cell r="N43" t="str">
            <v/>
          </cell>
        </row>
        <row r="44">
          <cell r="N44" t="str">
            <v/>
          </cell>
        </row>
        <row r="45">
          <cell r="N45" t="str">
            <v/>
          </cell>
        </row>
        <row r="46">
          <cell r="N46" t="str">
            <v/>
          </cell>
        </row>
        <row r="47">
          <cell r="N47" t="str">
            <v/>
          </cell>
        </row>
        <row r="48">
          <cell r="N48" t="str">
            <v/>
          </cell>
        </row>
        <row r="49">
          <cell r="N49" t="str">
            <v/>
          </cell>
        </row>
        <row r="50">
          <cell r="N50" t="str">
            <v/>
          </cell>
        </row>
        <row r="57">
          <cell r="N57" t="str">
            <v/>
          </cell>
        </row>
        <row r="58">
          <cell r="N58" t="str">
            <v/>
          </cell>
        </row>
        <row r="59">
          <cell r="N59" t="str">
            <v/>
          </cell>
        </row>
        <row r="60">
          <cell r="N60" t="str">
            <v/>
          </cell>
        </row>
        <row r="61">
          <cell r="N61" t="str">
            <v/>
          </cell>
        </row>
        <row r="62">
          <cell r="N62" t="str">
            <v/>
          </cell>
        </row>
        <row r="63">
          <cell r="N63" t="str">
            <v/>
          </cell>
        </row>
        <row r="64">
          <cell r="N64" t="str">
            <v/>
          </cell>
        </row>
        <row r="65">
          <cell r="N65" t="str">
            <v/>
          </cell>
        </row>
        <row r="66">
          <cell r="N66" t="str">
            <v/>
          </cell>
        </row>
        <row r="67">
          <cell r="N67" t="str">
            <v/>
          </cell>
        </row>
        <row r="68">
          <cell r="N68" t="str">
            <v/>
          </cell>
        </row>
        <row r="69">
          <cell r="N69" t="str">
            <v/>
          </cell>
        </row>
        <row r="70">
          <cell r="N70" t="str">
            <v/>
          </cell>
        </row>
        <row r="71">
          <cell r="N71" t="str">
            <v/>
          </cell>
        </row>
        <row r="72">
          <cell r="N72" t="str">
            <v/>
          </cell>
        </row>
        <row r="73">
          <cell r="N73" t="str">
            <v/>
          </cell>
        </row>
        <row r="74">
          <cell r="N74" t="str">
            <v/>
          </cell>
        </row>
        <row r="75">
          <cell r="N75" t="str">
            <v/>
          </cell>
        </row>
        <row r="76">
          <cell r="N76" t="str">
            <v/>
          </cell>
        </row>
        <row r="77">
          <cell r="N77" t="str">
            <v/>
          </cell>
        </row>
        <row r="78">
          <cell r="N78" t="str">
            <v/>
          </cell>
        </row>
      </sheetData>
      <sheetData sheetId="4" refreshError="1">
        <row r="1">
          <cell r="A1" t="str">
            <v>RowStart</v>
          </cell>
          <cell r="C1" t="str">
            <v>EV/Net Op Assets vs Spread</v>
          </cell>
        </row>
        <row r="2">
          <cell r="A2">
            <v>4</v>
          </cell>
          <cell r="C2" t="str">
            <v>CoreMetrics_MW</v>
          </cell>
        </row>
        <row r="3">
          <cell r="C3">
            <v>24</v>
          </cell>
        </row>
        <row r="4">
          <cell r="B4">
            <v>11</v>
          </cell>
          <cell r="C4">
            <v>23</v>
          </cell>
        </row>
        <row r="5">
          <cell r="A5">
            <v>1</v>
          </cell>
          <cell r="C5" t="e">
            <v>#NAME?</v>
          </cell>
          <cell r="D5" t="e">
            <v>#NAME?</v>
          </cell>
        </row>
        <row r="6">
          <cell r="A6">
            <v>2</v>
          </cell>
          <cell r="C6" t="e">
            <v>#NAME?</v>
          </cell>
          <cell r="D6" t="e">
            <v>#NAME?</v>
          </cell>
        </row>
        <row r="7">
          <cell r="A7">
            <v>3</v>
          </cell>
          <cell r="C7" t="e">
            <v>#NAME?</v>
          </cell>
          <cell r="D7" t="e">
            <v>#NAME?</v>
          </cell>
        </row>
        <row r="8">
          <cell r="A8">
            <v>4</v>
          </cell>
          <cell r="C8" t="e">
            <v>#NAME?</v>
          </cell>
          <cell r="D8" t="e">
            <v>#NAME?</v>
          </cell>
        </row>
        <row r="9">
          <cell r="A9">
            <v>5</v>
          </cell>
          <cell r="C9" t="e">
            <v>#NAME?</v>
          </cell>
          <cell r="D9" t="e">
            <v>#NAME?</v>
          </cell>
        </row>
        <row r="10">
          <cell r="A10">
            <v>6</v>
          </cell>
          <cell r="C10" t="e">
            <v>#NAME?</v>
          </cell>
          <cell r="D10" t="e">
            <v>#NAME?</v>
          </cell>
        </row>
        <row r="11">
          <cell r="A11">
            <v>7</v>
          </cell>
          <cell r="C11" t="e">
            <v>#NAME?</v>
          </cell>
          <cell r="D11" t="e">
            <v>#NAME?</v>
          </cell>
        </row>
        <row r="12">
          <cell r="A12">
            <v>8</v>
          </cell>
          <cell r="C12" t="e">
            <v>#NAME?</v>
          </cell>
          <cell r="D12" t="e">
            <v>#NAME?</v>
          </cell>
        </row>
        <row r="13">
          <cell r="A13">
            <v>9</v>
          </cell>
          <cell r="C13" t="e">
            <v>#NAME?</v>
          </cell>
          <cell r="D13" t="e">
            <v>#NAME?</v>
          </cell>
        </row>
        <row r="14">
          <cell r="A14">
            <v>10</v>
          </cell>
          <cell r="C14" t="e">
            <v>#NAME?</v>
          </cell>
          <cell r="D14" t="e">
            <v>#NAME?</v>
          </cell>
        </row>
        <row r="15">
          <cell r="A15">
            <v>11</v>
          </cell>
          <cell r="C15" t="e">
            <v>#NAME?</v>
          </cell>
          <cell r="D15" t="e">
            <v>#NAME?</v>
          </cell>
        </row>
        <row r="16">
          <cell r="A16">
            <v>12</v>
          </cell>
          <cell r="C16" t="e">
            <v>#NAME?</v>
          </cell>
          <cell r="D16" t="e">
            <v>#NAME?</v>
          </cell>
        </row>
        <row r="17">
          <cell r="A17">
            <v>13</v>
          </cell>
          <cell r="C17" t="e">
            <v>#NAME?</v>
          </cell>
          <cell r="D17" t="e">
            <v>#NAME?</v>
          </cell>
        </row>
        <row r="18">
          <cell r="A18">
            <v>14</v>
          </cell>
          <cell r="C18" t="e">
            <v>#NAME?</v>
          </cell>
          <cell r="D18" t="e">
            <v>#NAME?</v>
          </cell>
        </row>
        <row r="19">
          <cell r="A19">
            <v>15</v>
          </cell>
          <cell r="C19" t="e">
            <v>#NAME?</v>
          </cell>
          <cell r="D19" t="e">
            <v>#NAME?</v>
          </cell>
        </row>
        <row r="20">
          <cell r="A20">
            <v>16</v>
          </cell>
          <cell r="C20" t="e">
            <v>#NAME?</v>
          </cell>
          <cell r="D20" t="e">
            <v>#NAME?</v>
          </cell>
        </row>
        <row r="21">
          <cell r="A21">
            <v>17</v>
          </cell>
          <cell r="C21" t="e">
            <v>#NAME?</v>
          </cell>
          <cell r="D21" t="e">
            <v>#NAME?</v>
          </cell>
        </row>
        <row r="22">
          <cell r="A22">
            <v>18</v>
          </cell>
          <cell r="C22" t="e">
            <v>#NAME?</v>
          </cell>
          <cell r="D22" t="e">
            <v>#NAME?</v>
          </cell>
        </row>
        <row r="23">
          <cell r="A23">
            <v>19</v>
          </cell>
          <cell r="C23" t="e">
            <v>#NAME?</v>
          </cell>
          <cell r="D23" t="e">
            <v>#NAME?</v>
          </cell>
        </row>
        <row r="24">
          <cell r="A24">
            <v>20</v>
          </cell>
          <cell r="C24" t="e">
            <v>#NAME?</v>
          </cell>
          <cell r="D24" t="e">
            <v>#NAME?</v>
          </cell>
        </row>
        <row r="25">
          <cell r="A25">
            <v>21</v>
          </cell>
          <cell r="C25" t="e">
            <v>#NAME?</v>
          </cell>
          <cell r="D25" t="e">
            <v>#NAME?</v>
          </cell>
        </row>
        <row r="26">
          <cell r="A26">
            <v>22</v>
          </cell>
          <cell r="C26" t="e">
            <v>#NAME?</v>
          </cell>
          <cell r="D26" t="e">
            <v>#NAME?</v>
          </cell>
        </row>
        <row r="27">
          <cell r="A27">
            <v>23</v>
          </cell>
          <cell r="C27" t="e">
            <v>#NAME?</v>
          </cell>
          <cell r="D27" t="e">
            <v>#NAME?</v>
          </cell>
        </row>
        <row r="28">
          <cell r="A28">
            <v>24</v>
          </cell>
          <cell r="C28" t="e">
            <v>#NAME?</v>
          </cell>
          <cell r="D28" t="e">
            <v>#NAME?</v>
          </cell>
        </row>
        <row r="29">
          <cell r="A29">
            <v>25</v>
          </cell>
          <cell r="C29" t="e">
            <v>#NAME?</v>
          </cell>
          <cell r="D29" t="e">
            <v>#NAME?</v>
          </cell>
        </row>
        <row r="30">
          <cell r="A30">
            <v>26</v>
          </cell>
          <cell r="C30" t="e">
            <v>#NAME?</v>
          </cell>
          <cell r="D30" t="e">
            <v>#NAME?</v>
          </cell>
        </row>
        <row r="31">
          <cell r="A31">
            <v>27</v>
          </cell>
          <cell r="C31" t="e">
            <v>#NAME?</v>
          </cell>
          <cell r="D31" t="e">
            <v>#NAME?</v>
          </cell>
        </row>
        <row r="32">
          <cell r="A32">
            <v>28</v>
          </cell>
          <cell r="C32" t="e">
            <v>#NAME?</v>
          </cell>
          <cell r="D32" t="e">
            <v>#NAME?</v>
          </cell>
        </row>
        <row r="33">
          <cell r="A33">
            <v>29</v>
          </cell>
          <cell r="C33" t="e">
            <v>#NAME?</v>
          </cell>
          <cell r="D33" t="e">
            <v>#NAME?</v>
          </cell>
        </row>
        <row r="34">
          <cell r="A34">
            <v>30</v>
          </cell>
          <cell r="C34" t="e">
            <v>#NAME?</v>
          </cell>
          <cell r="D34" t="e">
            <v>#NAME?</v>
          </cell>
        </row>
        <row r="35">
          <cell r="A35">
            <v>31</v>
          </cell>
          <cell r="C35" t="e">
            <v>#NAME?</v>
          </cell>
          <cell r="D35" t="e">
            <v>#NAME?</v>
          </cell>
        </row>
        <row r="36">
          <cell r="A36">
            <v>32</v>
          </cell>
          <cell r="C36" t="e">
            <v>#NAME?</v>
          </cell>
          <cell r="D36" t="e">
            <v>#NAME?</v>
          </cell>
        </row>
        <row r="37">
          <cell r="A37">
            <v>33</v>
          </cell>
          <cell r="C37" t="e">
            <v>#NAME?</v>
          </cell>
          <cell r="D37" t="e">
            <v>#NAME?</v>
          </cell>
        </row>
        <row r="38">
          <cell r="A38">
            <v>34</v>
          </cell>
          <cell r="C38" t="e">
            <v>#NAME?</v>
          </cell>
          <cell r="D38" t="e">
            <v>#NAME?</v>
          </cell>
        </row>
        <row r="39">
          <cell r="A39">
            <v>35</v>
          </cell>
          <cell r="C39" t="e">
            <v>#NAME?</v>
          </cell>
          <cell r="D39" t="e">
            <v>#NAME?</v>
          </cell>
        </row>
        <row r="40">
          <cell r="A40">
            <v>36</v>
          </cell>
          <cell r="C40" t="e">
            <v>#NAME?</v>
          </cell>
          <cell r="D40" t="e">
            <v>#NAME?</v>
          </cell>
        </row>
        <row r="41">
          <cell r="A41">
            <v>37</v>
          </cell>
          <cell r="C41" t="e">
            <v>#NAME?</v>
          </cell>
          <cell r="D41" t="e">
            <v>#NAME?</v>
          </cell>
        </row>
        <row r="42">
          <cell r="A42">
            <v>38</v>
          </cell>
          <cell r="C42" t="e">
            <v>#NAME?</v>
          </cell>
          <cell r="D42" t="e">
            <v>#NAME?</v>
          </cell>
        </row>
        <row r="43">
          <cell r="A43">
            <v>39</v>
          </cell>
          <cell r="C43" t="e">
            <v>#NAME?</v>
          </cell>
          <cell r="D43" t="e">
            <v>#NAME?</v>
          </cell>
        </row>
        <row r="44">
          <cell r="A44">
            <v>40</v>
          </cell>
          <cell r="C44" t="e">
            <v>#NAME?</v>
          </cell>
          <cell r="D44" t="e">
            <v>#NAME?</v>
          </cell>
        </row>
        <row r="45">
          <cell r="A45">
            <v>41</v>
          </cell>
          <cell r="C45" t="e">
            <v>#NAME?</v>
          </cell>
          <cell r="D45" t="e">
            <v>#NAME?</v>
          </cell>
        </row>
        <row r="46">
          <cell r="A46">
            <v>42</v>
          </cell>
          <cell r="C46" t="e">
            <v>#NAME?</v>
          </cell>
          <cell r="D46" t="e">
            <v>#NAME?</v>
          </cell>
        </row>
        <row r="47">
          <cell r="A47">
            <v>43</v>
          </cell>
          <cell r="C47" t="e">
            <v>#NAME?</v>
          </cell>
          <cell r="D47" t="e">
            <v>#NAME?</v>
          </cell>
        </row>
        <row r="48">
          <cell r="A48">
            <v>44</v>
          </cell>
          <cell r="C48" t="e">
            <v>#NAME?</v>
          </cell>
          <cell r="D48" t="e">
            <v>#NAME?</v>
          </cell>
        </row>
        <row r="49">
          <cell r="A49">
            <v>45</v>
          </cell>
          <cell r="C49" t="e">
            <v>#NAME?</v>
          </cell>
          <cell r="D49" t="e">
            <v>#NAME?</v>
          </cell>
        </row>
        <row r="50">
          <cell r="A50">
            <v>46</v>
          </cell>
          <cell r="C50" t="e">
            <v>#NAME?</v>
          </cell>
          <cell r="D50" t="e">
            <v>#NAME?</v>
          </cell>
        </row>
        <row r="51">
          <cell r="A51">
            <v>0</v>
          </cell>
          <cell r="C51">
            <v>0</v>
          </cell>
          <cell r="D51">
            <v>0</v>
          </cell>
        </row>
        <row r="52">
          <cell r="A52" t="str">
            <v>Additional companies in the Modelware database to be added into the Compsheet.</v>
          </cell>
          <cell r="C52">
            <v>0</v>
          </cell>
          <cell r="D52">
            <v>0</v>
          </cell>
        </row>
        <row r="53">
          <cell r="A53">
            <v>47</v>
          </cell>
          <cell r="C53" t="e">
            <v>#NAME?</v>
          </cell>
          <cell r="D53" t="e">
            <v>#NAME?</v>
          </cell>
        </row>
        <row r="54">
          <cell r="A54">
            <v>48</v>
          </cell>
          <cell r="C54" t="e">
            <v>#NAME?</v>
          </cell>
          <cell r="D54" t="e">
            <v>#NAME?</v>
          </cell>
        </row>
        <row r="55">
          <cell r="A55">
            <v>49</v>
          </cell>
          <cell r="C55" t="e">
            <v>#NAME?</v>
          </cell>
          <cell r="D55" t="e">
            <v>#NAME?</v>
          </cell>
        </row>
        <row r="56">
          <cell r="A56">
            <v>50</v>
          </cell>
          <cell r="C56" t="e">
            <v>#NAME?</v>
          </cell>
          <cell r="D56" t="e">
            <v>#NAME?</v>
          </cell>
        </row>
      </sheetData>
      <sheetData sheetId="5" refreshError="1">
        <row r="1">
          <cell r="Y1">
            <v>9</v>
          </cell>
          <cell r="AG1">
            <v>0</v>
          </cell>
        </row>
        <row r="2">
          <cell r="AG2">
            <v>0</v>
          </cell>
        </row>
        <row r="3">
          <cell r="AE3" t="str">
            <v>PositionLow</v>
          </cell>
          <cell r="AF3" t="str">
            <v>PositionHigh</v>
          </cell>
        </row>
      </sheetData>
      <sheetData sheetId="6" refreshError="1">
        <row r="1">
          <cell r="AL1">
            <v>0</v>
          </cell>
        </row>
        <row r="2">
          <cell r="AL2">
            <v>0</v>
          </cell>
        </row>
      </sheetData>
      <sheetData sheetId="7" refreshError="1">
        <row r="1">
          <cell r="AK1">
            <v>0</v>
          </cell>
        </row>
        <row r="2">
          <cell r="AK2">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nilla Coke Lead"/>
      <sheetName val="Lead"/>
      <sheetName val="Raw Data"/>
      <sheetName val="Sheet3"/>
      <sheetName val="Leverage_Alcohol"/>
      <sheetName val="LRB Consumption - 2000"/>
      <sheetName val="Leverage_Non-Alcohol"/>
      <sheetName val="LRB Consumption - 2007"/>
      <sheetName val="Vanilla Coke"/>
      <sheetName val="Beer_Import_Share_US_Consumptio"/>
      <sheetName val="CSD_BEER_Demand_Elasticity"/>
      <sheetName val="Leverage_HPC Chart"/>
    </sheetNames>
    <sheetDataSet>
      <sheetData sheetId="0"/>
      <sheetData sheetId="1"/>
      <sheetData sheetId="2" refreshError="1">
        <row r="4">
          <cell r="B4" t="str">
            <v>TOTAL U.S. - F/D/Mx</v>
          </cell>
        </row>
        <row r="5">
          <cell r="C5" t="str">
            <v>13 Week Ending Apr 4, 2004</v>
          </cell>
          <cell r="D5" t="str">
            <v>13 Week Ending Jul 4, 2004</v>
          </cell>
          <cell r="E5" t="str">
            <v>13 Week Ending Oct 3, 2004</v>
          </cell>
          <cell r="F5" t="str">
            <v>13 Week Ending Jan 2, 2005</v>
          </cell>
          <cell r="G5" t="str">
            <v>13 Week Ending Apr 3, 2005</v>
          </cell>
          <cell r="H5" t="str">
            <v>13 Week Ending Jul 3, 2005</v>
          </cell>
          <cell r="I5" t="str">
            <v>13 Week Ending Oct 2, 2005</v>
          </cell>
          <cell r="J5" t="str">
            <v>13 Week Ending Jan 1, 2006</v>
          </cell>
          <cell r="K5" t="str">
            <v>13 Week Ending Apr 2, 2006</v>
          </cell>
          <cell r="L5" t="str">
            <v>13 Week Ending Jul 2, 2006</v>
          </cell>
          <cell r="M5" t="str">
            <v>13 Week Ending Oct 1, 2006</v>
          </cell>
          <cell r="N5" t="str">
            <v>13 Week Ending Dec 31, 2006</v>
          </cell>
          <cell r="O5" t="str">
            <v>13 Week Ending Apr 1, 2007</v>
          </cell>
          <cell r="P5" t="str">
            <v>13 Week Ending Jul 1, 2007</v>
          </cell>
          <cell r="Q5" t="str">
            <v>13 Week Ending Sep 30, 2007</v>
          </cell>
          <cell r="R5" t="str">
            <v>13 Week Ending Dec 30, 2007</v>
          </cell>
          <cell r="S5" t="str">
            <v>13 Week Ending Mar 30, 2008</v>
          </cell>
          <cell r="T5" t="str">
            <v>13 Week Ending Jun 29, 2008</v>
          </cell>
          <cell r="U5" t="str">
            <v>13 Week Ending Sep 28, 2008</v>
          </cell>
          <cell r="V5" t="str">
            <v>13 Week Ending Dec 28, 2008</v>
          </cell>
          <cell r="W5" t="str">
            <v>13 Week Ending Mar 29, 2009</v>
          </cell>
        </row>
        <row r="6">
          <cell r="B6" t="str">
            <v>Dollar Sales</v>
          </cell>
        </row>
        <row r="7">
          <cell r="B7" t="str">
            <v xml:space="preserve">   CATEGORY - CARBONATED BEVERAGES</v>
          </cell>
          <cell r="C7">
            <v>3317282000</v>
          </cell>
          <cell r="D7">
            <v>3701300000</v>
          </cell>
          <cell r="E7">
            <v>3490677000</v>
          </cell>
          <cell r="F7">
            <v>3408519000</v>
          </cell>
          <cell r="G7">
            <v>3295031000</v>
          </cell>
          <cell r="H7">
            <v>3648284000</v>
          </cell>
          <cell r="I7">
            <v>3496703000</v>
          </cell>
          <cell r="J7">
            <v>3423603000</v>
          </cell>
          <cell r="K7">
            <v>3248720000</v>
          </cell>
          <cell r="L7">
            <v>3666512000</v>
          </cell>
          <cell r="M7">
            <v>3391214000</v>
          </cell>
          <cell r="N7">
            <v>3347819000</v>
          </cell>
          <cell r="O7">
            <v>3190445000</v>
          </cell>
          <cell r="P7">
            <v>3584258000</v>
          </cell>
          <cell r="Q7">
            <v>3370624000</v>
          </cell>
          <cell r="R7">
            <v>3337782000</v>
          </cell>
          <cell r="S7">
            <v>3180815000</v>
          </cell>
          <cell r="T7">
            <v>3475638000</v>
          </cell>
          <cell r="U7">
            <v>3425676000</v>
          </cell>
          <cell r="V7">
            <v>3392009000</v>
          </cell>
          <cell r="W7">
            <v>3295868000</v>
          </cell>
        </row>
        <row r="8">
          <cell r="B8" t="str">
            <v xml:space="preserve">   CATEGORY - BEER/ALE/ALCOHOLIC CIDER</v>
          </cell>
          <cell r="C8">
            <v>1742946000</v>
          </cell>
          <cell r="D8">
            <v>2252780000</v>
          </cell>
          <cell r="E8">
            <v>2187593000</v>
          </cell>
          <cell r="F8">
            <v>1928437000</v>
          </cell>
          <cell r="G8">
            <v>1749929000</v>
          </cell>
          <cell r="H8">
            <v>2229345000</v>
          </cell>
          <cell r="I8">
            <v>2246162000</v>
          </cell>
          <cell r="J8">
            <v>1951769000</v>
          </cell>
          <cell r="K8">
            <v>1755572000</v>
          </cell>
          <cell r="L8">
            <v>2287181000</v>
          </cell>
          <cell r="M8">
            <v>2266846000</v>
          </cell>
          <cell r="N8">
            <v>1979207000</v>
          </cell>
          <cell r="O8">
            <v>1840120000</v>
          </cell>
          <cell r="P8">
            <v>2314781000</v>
          </cell>
          <cell r="Q8">
            <v>2379732000</v>
          </cell>
          <cell r="R8">
            <v>2077102000</v>
          </cell>
          <cell r="S8">
            <v>1914668000</v>
          </cell>
          <cell r="T8">
            <v>2372986000</v>
          </cell>
          <cell r="U8">
            <v>2526150000</v>
          </cell>
          <cell r="V8">
            <v>2193809000</v>
          </cell>
          <cell r="W8">
            <v>2056874000</v>
          </cell>
        </row>
        <row r="10">
          <cell r="B10" t="str">
            <v>Volume Sales</v>
          </cell>
        </row>
        <row r="11">
          <cell r="B11" t="str">
            <v xml:space="preserve">   CATEGORY - CARBONATED BEVERAGES</v>
          </cell>
          <cell r="C11">
            <v>859521700</v>
          </cell>
          <cell r="D11">
            <v>977480800</v>
          </cell>
          <cell r="E11">
            <v>903919300</v>
          </cell>
          <cell r="F11">
            <v>900644200</v>
          </cell>
          <cell r="G11">
            <v>836426400</v>
          </cell>
          <cell r="H11">
            <v>933665500</v>
          </cell>
          <cell r="I11">
            <v>875383900</v>
          </cell>
          <cell r="J11">
            <v>859481600</v>
          </cell>
          <cell r="K11">
            <v>786612400</v>
          </cell>
          <cell r="L11">
            <v>916662900</v>
          </cell>
          <cell r="M11">
            <v>823532000</v>
          </cell>
          <cell r="N11">
            <v>816853300</v>
          </cell>
          <cell r="O11">
            <v>734101500</v>
          </cell>
          <cell r="P11">
            <v>841189800</v>
          </cell>
          <cell r="Q11">
            <v>771172500</v>
          </cell>
          <cell r="R11">
            <v>771063900</v>
          </cell>
          <cell r="S11">
            <v>709098300</v>
          </cell>
          <cell r="T11">
            <v>783522000</v>
          </cell>
          <cell r="U11">
            <v>756548700</v>
          </cell>
          <cell r="V11">
            <v>725154600</v>
          </cell>
          <cell r="W11">
            <v>685697000</v>
          </cell>
        </row>
        <row r="12">
          <cell r="B12" t="str">
            <v xml:space="preserve">   CATEGORY - BEER/ALE/ALCOHOLIC CIDER</v>
          </cell>
          <cell r="C12">
            <v>104865200</v>
          </cell>
          <cell r="D12">
            <v>134490700</v>
          </cell>
          <cell r="E12">
            <v>130221500</v>
          </cell>
          <cell r="F12">
            <v>113960100</v>
          </cell>
          <cell r="G12">
            <v>103197300</v>
          </cell>
          <cell r="H12">
            <v>132344600</v>
          </cell>
          <cell r="I12">
            <v>134371000</v>
          </cell>
          <cell r="J12">
            <v>115109400</v>
          </cell>
          <cell r="K12">
            <v>101395500</v>
          </cell>
          <cell r="L12">
            <v>131009500</v>
          </cell>
          <cell r="M12">
            <v>130055100</v>
          </cell>
          <cell r="N12">
            <v>113774000</v>
          </cell>
          <cell r="O12">
            <v>103172800</v>
          </cell>
          <cell r="P12">
            <v>128001600</v>
          </cell>
          <cell r="Q12">
            <v>131380400</v>
          </cell>
          <cell r="R12">
            <v>114558400</v>
          </cell>
          <cell r="S12">
            <v>104134800</v>
          </cell>
          <cell r="T12">
            <v>127513700</v>
          </cell>
          <cell r="U12">
            <v>136342500</v>
          </cell>
          <cell r="V12">
            <v>115360700</v>
          </cell>
          <cell r="W12">
            <v>108207700</v>
          </cell>
        </row>
        <row r="14">
          <cell r="B14" t="str">
            <v>Avg Price Per Volume</v>
          </cell>
        </row>
        <row r="15">
          <cell r="B15" t="str">
            <v xml:space="preserve">   CATEGORY - CARBONATED BEVERAGES</v>
          </cell>
          <cell r="C15">
            <v>3.8594499999999998</v>
          </cell>
          <cell r="D15">
            <v>3.7865700000000002</v>
          </cell>
          <cell r="E15">
            <v>3.86171</v>
          </cell>
          <cell r="F15">
            <v>3.7845300000000002</v>
          </cell>
          <cell r="G15">
            <v>3.9394100000000001</v>
          </cell>
          <cell r="H15">
            <v>3.9074900000000001</v>
          </cell>
          <cell r="I15">
            <v>3.9944799999999998</v>
          </cell>
          <cell r="J15">
            <v>3.9833400000000001</v>
          </cell>
          <cell r="K15">
            <v>4.1300100000000004</v>
          </cell>
          <cell r="L15">
            <v>3.9998499999999999</v>
          </cell>
          <cell r="M15">
            <v>4.1178900000000001</v>
          </cell>
          <cell r="N15">
            <v>4.0984299999999996</v>
          </cell>
          <cell r="O15">
            <v>4.34605</v>
          </cell>
          <cell r="P15">
            <v>4.2609399999999997</v>
          </cell>
          <cell r="Q15">
            <v>4.3707799999999999</v>
          </cell>
          <cell r="R15">
            <v>4.3288000000000002</v>
          </cell>
          <cell r="S15">
            <v>4.4857199999999997</v>
          </cell>
          <cell r="T15">
            <v>4.4359200000000003</v>
          </cell>
          <cell r="U15">
            <v>4.5280300000000002</v>
          </cell>
          <cell r="V15">
            <v>4.6776400000000002</v>
          </cell>
          <cell r="W15">
            <v>4.8066000000000004</v>
          </cell>
        </row>
        <row r="16">
          <cell r="B16" t="str">
            <v xml:space="preserve">   CATEGORY - BEER/ALE/ALCOHOLIC CIDER</v>
          </cell>
          <cell r="C16">
            <v>16.620830000000002</v>
          </cell>
          <cell r="D16">
            <v>16.75046</v>
          </cell>
          <cell r="E16">
            <v>16.799019999999999</v>
          </cell>
          <cell r="F16">
            <v>16.922039999999999</v>
          </cell>
          <cell r="G16">
            <v>16.95712</v>
          </cell>
          <cell r="H16">
            <v>16.844989999999999</v>
          </cell>
          <cell r="I16">
            <v>16.71613</v>
          </cell>
          <cell r="J16">
            <v>16.955770000000001</v>
          </cell>
          <cell r="K16">
            <v>17.314109999999999</v>
          </cell>
          <cell r="L16">
            <v>17.458130000000001</v>
          </cell>
          <cell r="M16">
            <v>17.42989</v>
          </cell>
          <cell r="N16">
            <v>17.395959999999999</v>
          </cell>
          <cell r="O16">
            <v>17.835319999999999</v>
          </cell>
          <cell r="P16">
            <v>18.084</v>
          </cell>
          <cell r="Q16">
            <v>18.113289999999999</v>
          </cell>
          <cell r="R16">
            <v>18.13139</v>
          </cell>
          <cell r="S16">
            <v>18.386430000000001</v>
          </cell>
          <cell r="T16">
            <v>18.609660000000002</v>
          </cell>
          <cell r="U16">
            <v>18.527979999999999</v>
          </cell>
          <cell r="V16">
            <v>19.016950000000001</v>
          </cell>
          <cell r="W16">
            <v>19.008579999999998</v>
          </cell>
        </row>
      </sheetData>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ImportantDisclosures"/>
      <sheetName val="IndexInformation"/>
      <sheetName val="Income"/>
      <sheetName val="Sheet1"/>
      <sheetName val="Scenario"/>
      <sheetName val="MS_IRI_Methodology"/>
      <sheetName val="MARKET_SHARE ($)_RAW_DATA"/>
      <sheetName val="NEXXUS_RAW_DATA"/>
      <sheetName val="HAIR_CARE_MARKET SHARE ROLL-UP"/>
      <sheetName val="TOTAL_ACV_DOLLAR_SALES"/>
      <sheetName val="Euro vs. PM"/>
      <sheetName val="Ruble"/>
      <sheetName val="GWP"/>
      <sheetName val="Income Statement"/>
      <sheetName val="Margins"/>
      <sheetName val="SSB Nielsen Sales"/>
      <sheetName val="Comps"/>
      <sheetName val="Switches"/>
      <sheetName val="EBITDA"/>
      <sheetName val="TimeSeries"/>
      <sheetName val="Valuation Analyzer"/>
      <sheetName val="GWP-WLine"/>
      <sheetName val="TS_Stnd_Dev_Band"/>
      <sheetName val="Print "/>
      <sheetName val="Lookup"/>
      <sheetName val="Input"/>
      <sheetName val="99 cons YTD"/>
      <sheetName val="KPN"/>
      <sheetName val="B"/>
      <sheetName val="Ratios"/>
      <sheetName val="C"/>
      <sheetName val="summary"/>
      <sheetName val="rev change analysis"/>
      <sheetName val="Realizations vs Average"/>
      <sheetName val="O1000"/>
      <sheetName val="Oil Consumption – barre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 Disclosures All"/>
      <sheetName val="Index"/>
      <sheetName val="Inputs"/>
      <sheetName val="RankingBarCharts"/>
      <sheetName val="ScatterCharts"/>
      <sheetName val="MWare_Cached"/>
      <sheetName val="__FDSCACHE__"/>
      <sheetName val="Valuation"/>
      <sheetName val="CoreMetrics"/>
      <sheetName val="Performance"/>
      <sheetName val="Val_MW"/>
      <sheetName val="Perf_MW"/>
      <sheetName val="CoreMetrics_MW"/>
      <sheetName val="L"/>
    </sheetNames>
    <sheetDataSet>
      <sheetData sheetId="0" refreshError="1"/>
      <sheetData sheetId="1" refreshError="1"/>
      <sheetData sheetId="2" refreshError="1">
        <row r="1">
          <cell r="P1" t="str">
            <v>Global</v>
          </cell>
        </row>
        <row r="2">
          <cell r="P2" t="str">
            <v>Asia/Pacific</v>
          </cell>
        </row>
        <row r="3">
          <cell r="P3" t="str">
            <v>Europe</v>
          </cell>
        </row>
        <row r="4">
          <cell r="P4" t="str">
            <v>Japan</v>
          </cell>
        </row>
        <row r="5">
          <cell r="P5" t="str">
            <v>Latin America</v>
          </cell>
        </row>
        <row r="6">
          <cell r="P6" t="str">
            <v>North America</v>
          </cell>
        </row>
        <row r="7">
          <cell r="P7" t="str">
            <v>Beverages</v>
          </cell>
        </row>
        <row r="8">
          <cell r="P8" t="str">
            <v>Food</v>
          </cell>
        </row>
        <row r="9">
          <cell r="P9" t="str">
            <v>HPC</v>
          </cell>
        </row>
        <row r="10">
          <cell r="P10" t="str">
            <v>Tobacco</v>
          </cell>
        </row>
        <row r="11">
          <cell r="P11" t="str">
            <v>Asia/Pacific: Beverages</v>
          </cell>
        </row>
        <row r="12">
          <cell r="P12" t="str">
            <v>Asia/Pacific: Food</v>
          </cell>
        </row>
        <row r="13">
          <cell r="P13" t="str">
            <v>Asia/Pacific: HPC</v>
          </cell>
        </row>
        <row r="14">
          <cell r="P14" t="str">
            <v>Asia/Pacific: Tobacco</v>
          </cell>
        </row>
        <row r="15">
          <cell r="P15" t="str">
            <v>Europe: Beverages</v>
          </cell>
        </row>
        <row r="16">
          <cell r="P16" t="str">
            <v>Europe: Food</v>
          </cell>
        </row>
        <row r="17">
          <cell r="P17" t="str">
            <v>Europe: HPC</v>
          </cell>
        </row>
        <row r="18">
          <cell r="P18" t="str">
            <v>Europe: Tobacco</v>
          </cell>
        </row>
        <row r="19">
          <cell r="P19" t="str">
            <v>Japan: Beverages</v>
          </cell>
        </row>
        <row r="20">
          <cell r="P20" t="str">
            <v>Japan: Food</v>
          </cell>
        </row>
        <row r="21">
          <cell r="P21" t="str">
            <v>Japan: HPC</v>
          </cell>
        </row>
        <row r="22">
          <cell r="P22" t="str">
            <v>Japan: Tobacco</v>
          </cell>
        </row>
        <row r="23">
          <cell r="P23" t="str">
            <v>Latin America: Beverages</v>
          </cell>
        </row>
        <row r="24">
          <cell r="P24" t="str">
            <v>Latin America: Food</v>
          </cell>
        </row>
        <row r="25">
          <cell r="P25" t="str">
            <v>Latin America: HPC</v>
          </cell>
        </row>
        <row r="26">
          <cell r="P26" t="str">
            <v>Latin America: Tobacco</v>
          </cell>
        </row>
        <row r="27">
          <cell r="P27" t="str">
            <v>North America: Beverages</v>
          </cell>
        </row>
        <row r="28">
          <cell r="P28" t="str">
            <v>North America: Food</v>
          </cell>
        </row>
        <row r="29">
          <cell r="P29" t="str">
            <v>North America: HPC</v>
          </cell>
        </row>
        <row r="30">
          <cell r="P30" t="str">
            <v>North America: Tobacco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mailto:bob.doctor@morganstanley.com" TargetMode="External" Type="http://schemas.openxmlformats.org/officeDocument/2006/relationships/hyperlink"/>
<Relationship Id="rId2" Target="mailto:filippo.falorni@morganstanley.com" TargetMode="External" Type="http://schemas.openxmlformats.org/officeDocument/2006/relationships/hyperlink"/>
<Relationship Id="rId3" Target="mailto:scott.rotondi@morganstanley.com" TargetMode="External" Type="http://schemas.openxmlformats.org/officeDocument/2006/relationships/hyperlink"/>
<Relationship Id="rId4" Target="../printerSettings/printerSettings3.bin" Type="http://schemas.openxmlformats.org/officeDocument/2006/relationships/printerSettings"/>
<Relationship Id="rId5" Target="../drawings/drawing2.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3"/>
  <sheetViews>
    <sheetView showGridLines="0" tabSelected="1" workbookViewId="0">
      <selection activeCell="Z1" sqref="Z1"/>
    </sheetView>
  </sheetViews>
  <sheetFormatPr defaultRowHeight="12.75" x14ac:dyDescent="0.2"/>
  <cols>
    <col min="1" max="1" width="25.7109375" style="900" customWidth="1"/>
    <col min="2" max="5" width="8.85546875" style="900"/>
    <col min="6" max="6" width="18.7109375" style="900" customWidth="1"/>
    <col min="7" max="256" width="8.85546875" style="900"/>
    <col min="257" max="257" width="100.7109375" style="900" customWidth="1"/>
    <col min="258" max="512" width="8.85546875" style="900"/>
    <col min="513" max="513" width="100.7109375" style="900" customWidth="1"/>
    <col min="514" max="768" width="8.85546875" style="900"/>
    <col min="769" max="769" width="100.7109375" style="900" customWidth="1"/>
    <col min="770" max="1024" width="8.85546875" style="900"/>
    <col min="1025" max="1025" width="100.7109375" style="900" customWidth="1"/>
    <col min="1026" max="1280" width="8.85546875" style="900"/>
    <col min="1281" max="1281" width="100.7109375" style="900" customWidth="1"/>
    <col min="1282" max="1536" width="8.85546875" style="900"/>
    <col min="1537" max="1537" width="100.7109375" style="900" customWidth="1"/>
    <col min="1538" max="1792" width="8.85546875" style="900"/>
    <col min="1793" max="1793" width="100.7109375" style="900" customWidth="1"/>
    <col min="1794" max="2048" width="8.85546875" style="900"/>
    <col min="2049" max="2049" width="100.7109375" style="900" customWidth="1"/>
    <col min="2050" max="2304" width="8.85546875" style="900"/>
    <col min="2305" max="2305" width="100.7109375" style="900" customWidth="1"/>
    <col min="2306" max="2560" width="8.85546875" style="900"/>
    <col min="2561" max="2561" width="100.7109375" style="900" customWidth="1"/>
    <col min="2562" max="2816" width="8.85546875" style="900"/>
    <col min="2817" max="2817" width="100.7109375" style="900" customWidth="1"/>
    <col min="2818" max="3072" width="8.85546875" style="900"/>
    <col min="3073" max="3073" width="100.7109375" style="900" customWidth="1"/>
    <col min="3074" max="3328" width="8.85546875" style="900"/>
    <col min="3329" max="3329" width="100.7109375" style="900" customWidth="1"/>
    <col min="3330" max="3584" width="8.85546875" style="900"/>
    <col min="3585" max="3585" width="100.7109375" style="900" customWidth="1"/>
    <col min="3586" max="3840" width="8.85546875" style="900"/>
    <col min="3841" max="3841" width="100.7109375" style="900" customWidth="1"/>
    <col min="3842" max="4096" width="8.85546875" style="900"/>
    <col min="4097" max="4097" width="100.7109375" style="900" customWidth="1"/>
    <col min="4098" max="4352" width="8.85546875" style="900"/>
    <col min="4353" max="4353" width="100.7109375" style="900" customWidth="1"/>
    <col min="4354" max="4608" width="8.85546875" style="900"/>
    <col min="4609" max="4609" width="100.7109375" style="900" customWidth="1"/>
    <col min="4610" max="4864" width="8.85546875" style="900"/>
    <col min="4865" max="4865" width="100.7109375" style="900" customWidth="1"/>
    <col min="4866" max="5120" width="8.85546875" style="900"/>
    <col min="5121" max="5121" width="100.7109375" style="900" customWidth="1"/>
    <col min="5122" max="5376" width="8.85546875" style="900"/>
    <col min="5377" max="5377" width="100.7109375" style="900" customWidth="1"/>
    <col min="5378" max="5632" width="8.85546875" style="900"/>
    <col min="5633" max="5633" width="100.7109375" style="900" customWidth="1"/>
    <col min="5634" max="5888" width="8.85546875" style="900"/>
    <col min="5889" max="5889" width="100.7109375" style="900" customWidth="1"/>
    <col min="5890" max="6144" width="8.85546875" style="900"/>
    <col min="6145" max="6145" width="100.7109375" style="900" customWidth="1"/>
    <col min="6146" max="6400" width="8.85546875" style="900"/>
    <col min="6401" max="6401" width="100.7109375" style="900" customWidth="1"/>
    <col min="6402" max="6656" width="8.85546875" style="900"/>
    <col min="6657" max="6657" width="100.7109375" style="900" customWidth="1"/>
    <col min="6658" max="6912" width="8.85546875" style="900"/>
    <col min="6913" max="6913" width="100.7109375" style="900" customWidth="1"/>
    <col min="6914" max="7168" width="8.85546875" style="900"/>
    <col min="7169" max="7169" width="100.7109375" style="900" customWidth="1"/>
    <col min="7170" max="7424" width="8.85546875" style="900"/>
    <col min="7425" max="7425" width="100.7109375" style="900" customWidth="1"/>
    <col min="7426" max="7680" width="8.85546875" style="900"/>
    <col min="7681" max="7681" width="100.7109375" style="900" customWidth="1"/>
    <col min="7682" max="7936" width="8.85546875" style="900"/>
    <col min="7937" max="7937" width="100.7109375" style="900" customWidth="1"/>
    <col min="7938" max="8192" width="8.85546875" style="900"/>
    <col min="8193" max="8193" width="100.7109375" style="900" customWidth="1"/>
    <col min="8194" max="8448" width="8.85546875" style="900"/>
    <col min="8449" max="8449" width="100.7109375" style="900" customWidth="1"/>
    <col min="8450" max="8704" width="8.85546875" style="900"/>
    <col min="8705" max="8705" width="100.7109375" style="900" customWidth="1"/>
    <col min="8706" max="8960" width="8.85546875" style="900"/>
    <col min="8961" max="8961" width="100.7109375" style="900" customWidth="1"/>
    <col min="8962" max="9216" width="8.85546875" style="900"/>
    <col min="9217" max="9217" width="100.7109375" style="900" customWidth="1"/>
    <col min="9218" max="9472" width="8.85546875" style="900"/>
    <col min="9473" max="9473" width="100.7109375" style="900" customWidth="1"/>
    <col min="9474" max="9728" width="8.85546875" style="900"/>
    <col min="9729" max="9729" width="100.7109375" style="900" customWidth="1"/>
    <col min="9730" max="9984" width="8.85546875" style="900"/>
    <col min="9985" max="9985" width="100.7109375" style="900" customWidth="1"/>
    <col min="9986" max="10240" width="8.85546875" style="900"/>
    <col min="10241" max="10241" width="100.7109375" style="900" customWidth="1"/>
    <col min="10242" max="10496" width="8.85546875" style="900"/>
    <col min="10497" max="10497" width="100.7109375" style="900" customWidth="1"/>
    <col min="10498" max="10752" width="8.85546875" style="900"/>
    <col min="10753" max="10753" width="100.7109375" style="900" customWidth="1"/>
    <col min="10754" max="11008" width="8.85546875" style="900"/>
    <col min="11009" max="11009" width="100.7109375" style="900" customWidth="1"/>
    <col min="11010" max="11264" width="8.85546875" style="900"/>
    <col min="11265" max="11265" width="100.7109375" style="900" customWidth="1"/>
    <col min="11266" max="11520" width="8.85546875" style="900"/>
    <col min="11521" max="11521" width="100.7109375" style="900" customWidth="1"/>
    <col min="11522" max="11776" width="8.85546875" style="900"/>
    <col min="11777" max="11777" width="100.7109375" style="900" customWidth="1"/>
    <col min="11778" max="12032" width="8.85546875" style="900"/>
    <col min="12033" max="12033" width="100.7109375" style="900" customWidth="1"/>
    <col min="12034" max="12288" width="8.85546875" style="900"/>
    <col min="12289" max="12289" width="100.7109375" style="900" customWidth="1"/>
    <col min="12290" max="12544" width="8.85546875" style="900"/>
    <col min="12545" max="12545" width="100.7109375" style="900" customWidth="1"/>
    <col min="12546" max="12800" width="8.85546875" style="900"/>
    <col min="12801" max="12801" width="100.7109375" style="900" customWidth="1"/>
    <col min="12802" max="13056" width="8.85546875" style="900"/>
    <col min="13057" max="13057" width="100.7109375" style="900" customWidth="1"/>
    <col min="13058" max="13312" width="8.85546875" style="900"/>
    <col min="13313" max="13313" width="100.7109375" style="900" customWidth="1"/>
    <col min="13314" max="13568" width="8.85546875" style="900"/>
    <col min="13569" max="13569" width="100.7109375" style="900" customWidth="1"/>
    <col min="13570" max="13824" width="8.85546875" style="900"/>
    <col min="13825" max="13825" width="100.7109375" style="900" customWidth="1"/>
    <col min="13826" max="14080" width="8.85546875" style="900"/>
    <col min="14081" max="14081" width="100.7109375" style="900" customWidth="1"/>
    <col min="14082" max="14336" width="8.85546875" style="900"/>
    <col min="14337" max="14337" width="100.7109375" style="900" customWidth="1"/>
    <col min="14338" max="14592" width="8.85546875" style="900"/>
    <col min="14593" max="14593" width="100.7109375" style="900" customWidth="1"/>
    <col min="14594" max="14848" width="8.85546875" style="900"/>
    <col min="14849" max="14849" width="100.7109375" style="900" customWidth="1"/>
    <col min="14850" max="15104" width="8.85546875" style="900"/>
    <col min="15105" max="15105" width="100.7109375" style="900" customWidth="1"/>
    <col min="15106" max="15360" width="8.85546875" style="900"/>
    <col min="15361" max="15361" width="100.7109375" style="900" customWidth="1"/>
    <col min="15362" max="15616" width="8.85546875" style="900"/>
    <col min="15617" max="15617" width="100.7109375" style="900" customWidth="1"/>
    <col min="15618" max="15872" width="8.85546875" style="900"/>
    <col min="15873" max="15873" width="100.7109375" style="900" customWidth="1"/>
    <col min="15874" max="16128" width="8.85546875" style="900"/>
    <col min="16129" max="16129" width="100.7109375" style="900" customWidth="1"/>
    <col min="16130" max="16384" width="8.85546875" style="900"/>
  </cols>
  <sheetData>
    <row r="1" spans="1:8" ht="30" customHeight="1" x14ac:dyDescent="0.2">
      <c r="A1" s="898"/>
      <c r="B1" s="899"/>
      <c r="C1" s="899"/>
      <c r="D1" s="899"/>
      <c r="E1" s="899"/>
      <c r="F1" s="899"/>
      <c r="G1" s="899"/>
      <c r="H1" s="899"/>
    </row>
    <row r="2" spans="1:8" ht="14.25" x14ac:dyDescent="0.2">
      <c r="A2" s="901" t="s">
        <v>302</v>
      </c>
      <c r="B2" s="899"/>
      <c r="C2" s="899"/>
      <c r="D2" s="899"/>
      <c r="E2" s="899"/>
      <c r="F2" s="899"/>
      <c r="G2" s="899"/>
      <c r="H2" s="899"/>
    </row>
    <row r="3" spans="1:8" ht="14.25" x14ac:dyDescent="0.2">
      <c r="A3" s="901" t="s">
        <v>303</v>
      </c>
      <c r="B3" s="899"/>
      <c r="C3" s="899"/>
      <c r="D3" s="899"/>
      <c r="E3" s="899"/>
      <c r="F3" s="899"/>
      <c r="G3" s="899"/>
      <c r="H3" s="899"/>
    </row>
    <row r="4" spans="1:8" ht="14.25" x14ac:dyDescent="0.2">
      <c r="A4" s="901" t="s">
        <v>304</v>
      </c>
      <c r="B4" s="899"/>
      <c r="C4" s="899"/>
      <c r="D4" s="899"/>
      <c r="E4" s="899"/>
      <c r="F4" s="899"/>
      <c r="G4" s="899"/>
      <c r="H4" s="899"/>
    </row>
    <row r="5" spans="1:8" ht="14.25" x14ac:dyDescent="0.2">
      <c r="A5" s="901" t="s">
        <v>305</v>
      </c>
      <c r="B5" s="899"/>
      <c r="C5" s="899"/>
      <c r="D5" s="899"/>
      <c r="E5" s="899"/>
      <c r="F5" s="899"/>
      <c r="G5" s="899"/>
      <c r="H5" s="899"/>
    </row>
    <row r="6" spans="1:8" ht="14.25" x14ac:dyDescent="0.2">
      <c r="A6" s="901"/>
      <c r="B6" s="899"/>
      <c r="C6" s="899"/>
      <c r="D6" s="899"/>
      <c r="E6" s="899"/>
      <c r="F6" s="899"/>
      <c r="G6" s="899"/>
      <c r="H6" s="899"/>
    </row>
    <row r="7" spans="1:8" x14ac:dyDescent="0.2">
      <c r="A7" s="898" t="s">
        <v>306</v>
      </c>
      <c r="B7" s="899"/>
      <c r="C7" s="899"/>
      <c r="D7" s="899"/>
      <c r="E7" s="899"/>
      <c r="F7" s="899"/>
      <c r="G7" s="899"/>
      <c r="H7" s="899"/>
    </row>
    <row r="8" spans="1:8" x14ac:dyDescent="0.2">
      <c r="A8" s="898" t="s">
        <v>307</v>
      </c>
      <c r="B8" s="899"/>
      <c r="C8" s="899"/>
      <c r="D8" s="899"/>
      <c r="E8" s="899"/>
      <c r="F8" s="899"/>
      <c r="G8" s="899"/>
      <c r="H8" s="899"/>
    </row>
    <row r="9" spans="1:8" x14ac:dyDescent="0.2">
      <c r="A9" s="898"/>
      <c r="B9" s="899"/>
      <c r="C9" s="899"/>
      <c r="D9" s="899"/>
      <c r="E9" s="899"/>
      <c r="F9" s="899"/>
      <c r="G9" s="899"/>
      <c r="H9" s="899"/>
    </row>
    <row r="10" spans="1:8" x14ac:dyDescent="0.2">
      <c r="A10" s="902" t="s">
        <v>308</v>
      </c>
      <c r="B10" s="899"/>
      <c r="C10" s="899"/>
      <c r="D10" s="899"/>
      <c r="E10" s="899"/>
      <c r="F10" s="899"/>
      <c r="G10" s="899"/>
      <c r="H10" s="899"/>
    </row>
    <row r="11" spans="1:8" x14ac:dyDescent="0.2">
      <c r="A11" s="902" t="s">
        <v>309</v>
      </c>
      <c r="B11" s="899"/>
      <c r="C11" s="899"/>
      <c r="D11" s="899"/>
      <c r="E11" s="899"/>
      <c r="F11" s="899"/>
      <c r="G11" s="899"/>
      <c r="H11" s="899"/>
    </row>
    <row r="12" spans="1:8" x14ac:dyDescent="0.2">
      <c r="A12" s="902" t="s">
        <v>310</v>
      </c>
      <c r="B12" s="899"/>
      <c r="C12" s="899"/>
      <c r="D12" s="899"/>
      <c r="E12" s="899"/>
      <c r="F12" s="899"/>
      <c r="G12" s="899"/>
      <c r="H12" s="899"/>
    </row>
    <row r="13" spans="1:8" x14ac:dyDescent="0.2">
      <c r="A13" s="902" t="s">
        <v>311</v>
      </c>
      <c r="B13" s="899"/>
      <c r="C13" s="899"/>
      <c r="D13" s="899"/>
      <c r="E13" s="899"/>
      <c r="F13" s="899"/>
      <c r="G13" s="899"/>
      <c r="H13" s="899"/>
    </row>
    <row r="14" spans="1:8" x14ac:dyDescent="0.2">
      <c r="A14" s="902" t="s">
        <v>312</v>
      </c>
      <c r="B14" s="899"/>
      <c r="C14" s="899"/>
      <c r="D14" s="899"/>
      <c r="E14" s="899"/>
      <c r="F14" s="899"/>
      <c r="G14" s="899"/>
      <c r="H14" s="899"/>
    </row>
    <row r="15" spans="1:8" x14ac:dyDescent="0.2">
      <c r="A15" s="902" t="s">
        <v>313</v>
      </c>
      <c r="B15" s="899"/>
      <c r="C15" s="899"/>
      <c r="D15" s="899"/>
      <c r="E15" s="899"/>
      <c r="F15" s="899"/>
      <c r="G15" s="899"/>
      <c r="H15" s="899"/>
    </row>
    <row r="16" spans="1:8" x14ac:dyDescent="0.2">
      <c r="A16" s="902"/>
      <c r="B16" s="899"/>
      <c r="C16" s="899"/>
      <c r="D16" s="899"/>
      <c r="E16" s="899"/>
      <c r="F16" s="899"/>
      <c r="G16" s="899"/>
      <c r="H16" s="899"/>
    </row>
    <row r="17" spans="1:8" x14ac:dyDescent="0.2">
      <c r="A17" s="902" t="s">
        <v>299</v>
      </c>
      <c r="B17" s="899"/>
      <c r="C17" s="899"/>
      <c r="D17" s="899"/>
      <c r="E17" s="899"/>
      <c r="F17" s="899"/>
      <c r="G17" s="899"/>
      <c r="H17" s="899"/>
    </row>
    <row r="18" spans="1:8" x14ac:dyDescent="0.2">
      <c r="A18" s="902"/>
      <c r="B18" s="899"/>
      <c r="C18" s="899"/>
      <c r="D18" s="899"/>
      <c r="E18" s="899"/>
      <c r="F18" s="899"/>
      <c r="G18" s="899"/>
      <c r="H18" s="899"/>
    </row>
    <row r="19" spans="1:8" x14ac:dyDescent="0.2">
      <c r="A19" s="902" t="s">
        <v>300</v>
      </c>
      <c r="B19" s="899"/>
      <c r="C19" s="899"/>
      <c r="D19" s="899"/>
      <c r="E19" s="899"/>
      <c r="F19" s="899"/>
      <c r="G19" s="899"/>
      <c r="H19" s="899"/>
    </row>
    <row r="20" spans="1:8" x14ac:dyDescent="0.2">
      <c r="A20" s="898"/>
      <c r="B20" s="899"/>
      <c r="C20" s="899"/>
      <c r="D20" s="899"/>
      <c r="E20" s="899"/>
      <c r="F20" s="899"/>
      <c r="G20" s="899"/>
      <c r="H20" s="899"/>
    </row>
    <row r="21" spans="1:8" x14ac:dyDescent="0.2">
      <c r="A21" s="903" t="s">
        <v>301</v>
      </c>
      <c r="B21" s="899"/>
      <c r="C21" s="899"/>
      <c r="D21" s="899"/>
      <c r="E21" s="899"/>
      <c r="F21" s="899"/>
      <c r="G21" s="899"/>
      <c r="H21" s="899"/>
    </row>
    <row r="22" spans="1:8" x14ac:dyDescent="0.2">
      <c r="A22" s="904"/>
      <c r="B22" s="904"/>
      <c r="C22" s="904"/>
      <c r="D22" s="904"/>
      <c r="E22" s="904"/>
      <c r="F22" s="904"/>
      <c r="G22" s="904"/>
      <c r="H22" s="904"/>
    </row>
    <row r="23" spans="1:8" x14ac:dyDescent="0.2">
      <c r="A23" s="905" t="s">
        <v>593</v>
      </c>
      <c r="B23" s="904"/>
      <c r="C23" s="904"/>
      <c r="D23" s="904"/>
      <c r="E23" s="904"/>
      <c r="F23" s="904"/>
      <c r="G23" s="904"/>
      <c r="H23" s="904"/>
    </row>
    <row r="24" spans="1:8" x14ac:dyDescent="0.2">
      <c r="A24" s="905" t="s">
        <v>594</v>
      </c>
      <c r="B24" s="904"/>
      <c r="C24" s="904"/>
      <c r="D24" s="904"/>
      <c r="E24" s="904"/>
      <c r="F24" s="904"/>
      <c r="G24" s="904"/>
      <c r="H24" s="904"/>
    </row>
    <row r="25" spans="1:8" x14ac:dyDescent="0.2">
      <c r="A25" s="905" t="s">
        <v>595</v>
      </c>
      <c r="B25" s="904"/>
      <c r="C25" s="904"/>
      <c r="D25" s="904"/>
      <c r="E25" s="904"/>
      <c r="F25" s="904"/>
      <c r="G25" s="904"/>
      <c r="H25" s="904"/>
    </row>
    <row r="26" spans="1:8" x14ac:dyDescent="0.2">
      <c r="A26" s="905" t="s">
        <v>596</v>
      </c>
      <c r="B26" s="904"/>
      <c r="C26" s="904"/>
      <c r="D26" s="904"/>
      <c r="E26" s="904"/>
      <c r="F26" s="904"/>
      <c r="G26" s="904"/>
      <c r="H26" s="904"/>
    </row>
    <row r="27" spans="1:8" x14ac:dyDescent="0.2">
      <c r="A27" s="904"/>
      <c r="B27" s="904"/>
      <c r="C27" s="904"/>
      <c r="D27" s="904"/>
      <c r="E27" s="904"/>
      <c r="F27" s="904"/>
      <c r="G27" s="904"/>
      <c r="H27" s="904"/>
    </row>
    <row r="28" spans="1:8" x14ac:dyDescent="0.2">
      <c r="A28" s="904"/>
      <c r="B28" s="904"/>
      <c r="C28" s="904"/>
      <c r="D28" s="904"/>
      <c r="E28" s="904"/>
      <c r="F28" s="904"/>
      <c r="G28" s="904"/>
      <c r="H28" s="904"/>
    </row>
    <row r="29" spans="1:8" x14ac:dyDescent="0.2">
      <c r="A29" s="905" t="s">
        <v>588</v>
      </c>
      <c r="B29" s="904"/>
      <c r="C29" s="904"/>
      <c r="D29" s="904"/>
      <c r="E29" s="904"/>
      <c r="F29" s="904"/>
      <c r="G29" s="904"/>
      <c r="H29" s="904"/>
    </row>
    <row r="30" spans="1:8" x14ac:dyDescent="0.2">
      <c r="A30" s="905" t="s">
        <v>589</v>
      </c>
      <c r="B30" s="904"/>
      <c r="C30" s="904"/>
      <c r="D30" s="904"/>
      <c r="E30" s="904"/>
      <c r="F30" s="904"/>
      <c r="G30" s="904"/>
      <c r="H30" s="904"/>
    </row>
    <row r="31" spans="1:8" x14ac:dyDescent="0.2">
      <c r="A31" s="905" t="s">
        <v>590</v>
      </c>
      <c r="B31" s="904"/>
      <c r="C31" s="904"/>
      <c r="D31" s="904"/>
      <c r="E31" s="904"/>
      <c r="F31" s="904"/>
      <c r="G31" s="904"/>
      <c r="H31" s="904"/>
    </row>
    <row r="32" spans="1:8" x14ac:dyDescent="0.2">
      <c r="A32" s="905" t="s">
        <v>591</v>
      </c>
      <c r="B32" s="904"/>
      <c r="C32" s="904"/>
      <c r="D32" s="904"/>
      <c r="E32" s="904"/>
      <c r="F32" s="904"/>
      <c r="G32" s="904"/>
      <c r="H32" s="904"/>
    </row>
    <row r="33" spans="1:8" x14ac:dyDescent="0.2">
      <c r="A33" s="905" t="s">
        <v>592</v>
      </c>
      <c r="B33" s="904"/>
      <c r="C33" s="904"/>
      <c r="D33" s="904"/>
      <c r="E33" s="904"/>
      <c r="F33" s="904"/>
      <c r="G33" s="904"/>
      <c r="H33" s="904"/>
    </row>
    <row r="34" spans="1:8" x14ac:dyDescent="0.2">
      <c r="A34" s="904"/>
      <c r="B34" s="904"/>
      <c r="C34" s="904"/>
      <c r="D34" s="904"/>
      <c r="E34" s="904"/>
      <c r="F34" s="904"/>
      <c r="G34" s="904"/>
      <c r="H34" s="904"/>
    </row>
    <row r="35" spans="1:8" x14ac:dyDescent="0.2">
      <c r="A35" s="905" t="s">
        <v>584</v>
      </c>
      <c r="B35" s="904"/>
      <c r="C35" s="904"/>
      <c r="D35" s="904"/>
      <c r="E35" s="904"/>
      <c r="F35" s="904"/>
      <c r="G35" s="904"/>
      <c r="H35" s="904"/>
    </row>
    <row r="36" spans="1:8" x14ac:dyDescent="0.2">
      <c r="A36" s="905" t="s">
        <v>585</v>
      </c>
      <c r="B36" s="904"/>
      <c r="C36" s="904"/>
      <c r="D36" s="904"/>
      <c r="E36" s="904"/>
      <c r="F36" s="904"/>
      <c r="G36" s="904"/>
      <c r="H36" s="904"/>
    </row>
    <row r="37" spans="1:8" x14ac:dyDescent="0.2">
      <c r="A37" s="905" t="s">
        <v>586</v>
      </c>
      <c r="B37" s="904"/>
      <c r="C37" s="904"/>
      <c r="D37" s="904"/>
      <c r="E37" s="904"/>
      <c r="F37" s="904"/>
      <c r="G37" s="904"/>
      <c r="H37" s="904"/>
    </row>
    <row r="38" spans="1:8" x14ac:dyDescent="0.2">
      <c r="A38" s="905" t="s">
        <v>587</v>
      </c>
      <c r="B38" s="904"/>
      <c r="C38" s="904"/>
      <c r="D38" s="904"/>
      <c r="E38" s="904"/>
      <c r="F38" s="904"/>
      <c r="G38" s="904"/>
      <c r="H38" s="904"/>
    </row>
    <row r="39" spans="1:8" x14ac:dyDescent="0.2">
      <c r="A39" s="904"/>
      <c r="B39" s="904"/>
      <c r="C39" s="904"/>
      <c r="D39" s="904"/>
      <c r="E39" s="904"/>
      <c r="F39" s="904"/>
      <c r="G39" s="904"/>
      <c r="H39" s="904"/>
    </row>
    <row r="40" spans="1:8" x14ac:dyDescent="0.2">
      <c r="A40" s="905" t="s">
        <v>578</v>
      </c>
      <c r="B40" s="904"/>
      <c r="C40" s="904"/>
      <c r="D40" s="904"/>
      <c r="E40" s="904"/>
      <c r="F40" s="904"/>
      <c r="G40" s="904"/>
      <c r="H40" s="904"/>
    </row>
    <row r="41" spans="1:8" x14ac:dyDescent="0.2">
      <c r="A41" s="905" t="s">
        <v>579</v>
      </c>
      <c r="B41" s="904"/>
      <c r="C41" s="904"/>
      <c r="D41" s="904"/>
      <c r="E41" s="904"/>
      <c r="F41" s="904"/>
      <c r="G41" s="904"/>
      <c r="H41" s="904"/>
    </row>
    <row r="42" spans="1:8" x14ac:dyDescent="0.2">
      <c r="A42" s="905" t="s">
        <v>580</v>
      </c>
      <c r="B42" s="904"/>
      <c r="C42" s="904"/>
      <c r="D42" s="904"/>
      <c r="E42" s="904"/>
      <c r="F42" s="904"/>
      <c r="G42" s="904"/>
      <c r="H42" s="904"/>
    </row>
    <row r="43" spans="1:8" x14ac:dyDescent="0.2">
      <c r="A43" s="905" t="s">
        <v>581</v>
      </c>
      <c r="B43" s="904"/>
      <c r="C43" s="904"/>
      <c r="D43" s="904"/>
      <c r="E43" s="904"/>
      <c r="F43" s="904"/>
      <c r="G43" s="904"/>
      <c r="H43" s="904"/>
    </row>
    <row r="44" spans="1:8" x14ac:dyDescent="0.2">
      <c r="A44" s="905" t="s">
        <v>582</v>
      </c>
      <c r="B44" s="904"/>
      <c r="C44" s="904"/>
      <c r="D44" s="904"/>
      <c r="E44" s="904"/>
      <c r="F44" s="904"/>
      <c r="G44" s="904"/>
      <c r="H44" s="904"/>
    </row>
    <row r="45" spans="1:8" x14ac:dyDescent="0.2">
      <c r="A45" s="905" t="s">
        <v>583</v>
      </c>
      <c r="B45" s="904"/>
      <c r="C45" s="904"/>
      <c r="D45" s="904"/>
      <c r="E45" s="904"/>
      <c r="F45" s="904"/>
      <c r="G45" s="904"/>
      <c r="H45" s="904"/>
    </row>
    <row r="46" spans="1:8" x14ac:dyDescent="0.2">
      <c r="A46" s="904"/>
      <c r="B46" s="904"/>
      <c r="C46" s="904"/>
      <c r="D46" s="904"/>
      <c r="E46" s="904"/>
      <c r="F46" s="904"/>
      <c r="G46" s="904"/>
      <c r="H46" s="904"/>
    </row>
    <row r="47" spans="1:8" ht="15.75" x14ac:dyDescent="0.2">
      <c r="A47" s="906" t="s">
        <v>314</v>
      </c>
      <c r="B47" s="904"/>
      <c r="C47" s="904"/>
      <c r="D47" s="904"/>
      <c r="E47" s="904"/>
      <c r="F47" s="904"/>
      <c r="G47" s="904"/>
      <c r="H47" s="904"/>
    </row>
    <row r="48" spans="1:8" x14ac:dyDescent="0.2">
      <c r="A48" s="904"/>
      <c r="B48" s="904"/>
      <c r="C48" s="904"/>
      <c r="D48" s="904"/>
      <c r="E48" s="904"/>
      <c r="F48" s="904"/>
      <c r="G48" s="904"/>
      <c r="H48" s="904"/>
    </row>
    <row r="49" spans="1:8" x14ac:dyDescent="0.2">
      <c r="A49" s="905" t="s">
        <v>574</v>
      </c>
      <c r="B49" s="904"/>
      <c r="C49" s="904"/>
      <c r="D49" s="904"/>
      <c r="E49" s="904"/>
      <c r="F49" s="904"/>
      <c r="G49" s="904"/>
      <c r="H49" s="904"/>
    </row>
    <row r="50" spans="1:8" x14ac:dyDescent="0.2">
      <c r="A50" s="905" t="s">
        <v>575</v>
      </c>
      <c r="B50" s="904"/>
      <c r="C50" s="904"/>
      <c r="D50" s="904"/>
      <c r="E50" s="904"/>
      <c r="F50" s="904"/>
      <c r="G50" s="904"/>
      <c r="H50" s="904"/>
    </row>
    <row r="51" spans="1:8" x14ac:dyDescent="0.2">
      <c r="A51" s="905" t="s">
        <v>576</v>
      </c>
      <c r="B51" s="904"/>
      <c r="C51" s="904"/>
      <c r="D51" s="904"/>
      <c r="E51" s="904"/>
      <c r="F51" s="904"/>
      <c r="G51" s="904"/>
      <c r="H51" s="904"/>
    </row>
    <row r="52" spans="1:8" x14ac:dyDescent="0.2">
      <c r="A52" s="905" t="s">
        <v>577</v>
      </c>
      <c r="B52" s="904"/>
      <c r="C52" s="904"/>
      <c r="D52" s="904"/>
      <c r="E52" s="904"/>
      <c r="F52" s="904"/>
      <c r="G52" s="904"/>
      <c r="H52" s="904"/>
    </row>
    <row r="53" spans="1:8" x14ac:dyDescent="0.2">
      <c r="A53" s="904"/>
      <c r="B53" s="904"/>
      <c r="C53" s="904"/>
      <c r="D53" s="904"/>
      <c r="E53" s="904"/>
      <c r="F53" s="904"/>
      <c r="G53" s="904"/>
      <c r="H53" s="904"/>
    </row>
    <row r="54" spans="1:8" x14ac:dyDescent="0.2">
      <c r="A54" s="905" t="s">
        <v>315</v>
      </c>
      <c r="B54" s="904"/>
      <c r="C54" s="904"/>
      <c r="D54" s="904"/>
      <c r="E54" s="904"/>
      <c r="F54" s="904"/>
      <c r="G54" s="904"/>
      <c r="H54" s="904"/>
    </row>
    <row r="55" spans="1:8" x14ac:dyDescent="0.2">
      <c r="A55" s="904"/>
      <c r="B55" s="904"/>
      <c r="C55" s="904"/>
      <c r="D55" s="904"/>
      <c r="E55" s="904"/>
      <c r="F55" s="904"/>
      <c r="G55" s="904"/>
      <c r="H55" s="904"/>
    </row>
    <row r="56" spans="1:8" ht="15.75" x14ac:dyDescent="0.2">
      <c r="A56" s="906" t="s">
        <v>316</v>
      </c>
      <c r="B56" s="904"/>
      <c r="C56" s="904"/>
      <c r="D56" s="904"/>
      <c r="E56" s="904"/>
      <c r="F56" s="904"/>
      <c r="G56" s="904"/>
      <c r="H56" s="904"/>
    </row>
    <row r="57" spans="1:8" x14ac:dyDescent="0.2">
      <c r="A57" s="904"/>
      <c r="B57" s="904"/>
      <c r="C57" s="904"/>
      <c r="D57" s="904"/>
      <c r="E57" s="904"/>
      <c r="F57" s="904"/>
      <c r="G57" s="904"/>
      <c r="H57" s="904"/>
    </row>
    <row r="58" spans="1:8" x14ac:dyDescent="0.2">
      <c r="A58" s="905" t="s">
        <v>572</v>
      </c>
      <c r="B58" s="904"/>
      <c r="C58" s="904"/>
      <c r="D58" s="904"/>
      <c r="E58" s="904"/>
      <c r="F58" s="904"/>
      <c r="G58" s="904"/>
      <c r="H58" s="904"/>
    </row>
    <row r="59" spans="1:8" x14ac:dyDescent="0.2">
      <c r="A59" s="905" t="s">
        <v>573</v>
      </c>
      <c r="B59" s="904"/>
      <c r="C59" s="904"/>
      <c r="D59" s="904"/>
      <c r="E59" s="904"/>
      <c r="F59" s="904"/>
      <c r="G59" s="904"/>
      <c r="H59" s="904"/>
    </row>
    <row r="60" spans="1:8" x14ac:dyDescent="0.2">
      <c r="A60" s="904"/>
      <c r="B60" s="904"/>
      <c r="C60" s="904"/>
      <c r="D60" s="904"/>
      <c r="E60" s="904"/>
      <c r="F60" s="904"/>
      <c r="G60" s="904"/>
      <c r="H60" s="904"/>
    </row>
    <row r="61" spans="1:8" ht="15.75" x14ac:dyDescent="0.2">
      <c r="A61" s="906" t="s">
        <v>317</v>
      </c>
      <c r="B61" s="904"/>
      <c r="C61" s="904"/>
      <c r="D61" s="904"/>
      <c r="E61" s="904"/>
      <c r="F61" s="904"/>
      <c r="G61" s="904"/>
      <c r="H61" s="904"/>
    </row>
    <row r="62" spans="1:8" x14ac:dyDescent="0.2">
      <c r="A62" s="904"/>
      <c r="B62" s="904"/>
      <c r="C62" s="904"/>
      <c r="D62" s="904"/>
      <c r="E62" s="904"/>
      <c r="F62" s="904"/>
      <c r="G62" s="904"/>
      <c r="H62" s="904"/>
    </row>
    <row r="63" spans="1:8" x14ac:dyDescent="0.2">
      <c r="A63" s="905" t="s">
        <v>570</v>
      </c>
      <c r="B63" s="904"/>
      <c r="C63" s="904"/>
      <c r="D63" s="904"/>
      <c r="E63" s="904"/>
      <c r="F63" s="904"/>
      <c r="G63" s="904"/>
      <c r="H63" s="904"/>
    </row>
    <row r="64" spans="1:8" x14ac:dyDescent="0.2">
      <c r="A64" s="905" t="s">
        <v>571</v>
      </c>
      <c r="B64" s="904"/>
      <c r="C64" s="904"/>
      <c r="D64" s="904"/>
      <c r="E64" s="904"/>
      <c r="F64" s="904"/>
      <c r="G64" s="904"/>
      <c r="H64" s="904"/>
    </row>
    <row r="65" spans="1:8" x14ac:dyDescent="0.2">
      <c r="A65" s="904"/>
      <c r="B65" s="904"/>
      <c r="C65" s="904"/>
      <c r="D65" s="904"/>
      <c r="E65" s="904"/>
      <c r="F65" s="904"/>
      <c r="G65" s="904"/>
      <c r="H65" s="904"/>
    </row>
    <row r="66" spans="1:8" x14ac:dyDescent="0.2">
      <c r="A66" s="905" t="s">
        <v>568</v>
      </c>
      <c r="B66" s="904"/>
      <c r="C66" s="904"/>
      <c r="D66" s="904"/>
      <c r="E66" s="904"/>
      <c r="F66" s="904"/>
      <c r="G66" s="904"/>
      <c r="H66" s="904"/>
    </row>
    <row r="67" spans="1:8" x14ac:dyDescent="0.2">
      <c r="A67" s="905" t="s">
        <v>569</v>
      </c>
      <c r="B67" s="904"/>
      <c r="C67" s="904"/>
      <c r="D67" s="904"/>
      <c r="E67" s="904"/>
      <c r="F67" s="904"/>
      <c r="G67" s="904"/>
      <c r="H67" s="904"/>
    </row>
    <row r="68" spans="1:8" x14ac:dyDescent="0.2">
      <c r="A68" s="904"/>
      <c r="B68" s="904"/>
      <c r="C68" s="904"/>
      <c r="D68" s="904"/>
      <c r="E68" s="904"/>
      <c r="F68" s="904"/>
      <c r="G68" s="904"/>
      <c r="H68" s="904"/>
    </row>
    <row r="69" spans="1:8" x14ac:dyDescent="0.2">
      <c r="A69" s="905" t="s">
        <v>566</v>
      </c>
      <c r="B69" s="904"/>
      <c r="C69" s="904"/>
      <c r="D69" s="904"/>
      <c r="E69" s="904"/>
      <c r="F69" s="904"/>
      <c r="G69" s="904"/>
      <c r="H69" s="904"/>
    </row>
    <row r="70" spans="1:8" x14ac:dyDescent="0.2">
      <c r="A70" s="905" t="s">
        <v>567</v>
      </c>
      <c r="B70" s="904"/>
      <c r="C70" s="904"/>
      <c r="D70" s="904"/>
      <c r="E70" s="904"/>
      <c r="F70" s="904"/>
      <c r="G70" s="904"/>
      <c r="H70" s="904"/>
    </row>
    <row r="71" spans="1:8" x14ac:dyDescent="0.2">
      <c r="A71" s="904"/>
      <c r="B71" s="904"/>
      <c r="C71" s="904"/>
      <c r="D71" s="904"/>
      <c r="E71" s="904"/>
      <c r="F71" s="904"/>
      <c r="G71" s="904"/>
      <c r="H71" s="904"/>
    </row>
    <row r="72" spans="1:8" x14ac:dyDescent="0.2">
      <c r="A72" s="905" t="s">
        <v>564</v>
      </c>
      <c r="B72" s="904"/>
      <c r="C72" s="904"/>
      <c r="D72" s="904"/>
      <c r="E72" s="904"/>
      <c r="F72" s="904"/>
      <c r="G72" s="904"/>
      <c r="H72" s="904"/>
    </row>
    <row r="73" spans="1:8" x14ac:dyDescent="0.2">
      <c r="A73" s="905" t="s">
        <v>565</v>
      </c>
      <c r="B73" s="904"/>
      <c r="C73" s="904"/>
      <c r="D73" s="904"/>
      <c r="E73" s="904"/>
      <c r="F73" s="904"/>
      <c r="G73" s="904"/>
      <c r="H73" s="904"/>
    </row>
    <row r="74" spans="1:8" x14ac:dyDescent="0.2">
      <c r="A74" s="904"/>
      <c r="B74" s="904"/>
      <c r="C74" s="904"/>
      <c r="D74" s="904"/>
      <c r="E74" s="904"/>
      <c r="F74" s="904"/>
      <c r="G74" s="904"/>
      <c r="H74" s="904"/>
    </row>
    <row r="75" spans="1:8" x14ac:dyDescent="0.2">
      <c r="A75" s="905" t="s">
        <v>561</v>
      </c>
      <c r="B75" s="904"/>
      <c r="C75" s="904"/>
      <c r="D75" s="904"/>
      <c r="E75" s="904"/>
      <c r="F75" s="904"/>
      <c r="G75" s="904"/>
      <c r="H75" s="904"/>
    </row>
    <row r="76" spans="1:8" x14ac:dyDescent="0.2">
      <c r="A76" s="905" t="s">
        <v>562</v>
      </c>
      <c r="B76" s="904"/>
      <c r="C76" s="904"/>
      <c r="D76" s="904"/>
      <c r="E76" s="904"/>
      <c r="F76" s="904"/>
      <c r="G76" s="904"/>
      <c r="H76" s="904"/>
    </row>
    <row r="77" spans="1:8" x14ac:dyDescent="0.2">
      <c r="A77" s="905" t="s">
        <v>563</v>
      </c>
      <c r="B77" s="904"/>
      <c r="C77" s="904"/>
      <c r="D77" s="904"/>
      <c r="E77" s="904"/>
      <c r="F77" s="904"/>
      <c r="G77" s="904"/>
      <c r="H77" s="904"/>
    </row>
    <row r="78" spans="1:8" x14ac:dyDescent="0.2">
      <c r="A78" s="904"/>
      <c r="B78" s="904"/>
      <c r="C78" s="904"/>
      <c r="D78" s="904"/>
      <c r="E78" s="904"/>
      <c r="F78" s="904"/>
      <c r="G78" s="904"/>
      <c r="H78" s="904"/>
    </row>
    <row r="79" spans="1:8" x14ac:dyDescent="0.2">
      <c r="A79" s="905" t="s">
        <v>318</v>
      </c>
      <c r="B79" s="904"/>
      <c r="C79" s="904"/>
      <c r="D79" s="904"/>
      <c r="E79" s="904"/>
      <c r="F79" s="904"/>
      <c r="G79" s="904"/>
      <c r="H79" s="904"/>
    </row>
    <row r="80" spans="1:8" x14ac:dyDescent="0.2">
      <c r="A80" s="904"/>
      <c r="B80" s="904"/>
      <c r="C80" s="904"/>
      <c r="D80" s="904"/>
      <c r="E80" s="904"/>
      <c r="F80" s="904"/>
      <c r="G80" s="904"/>
      <c r="H80" s="904"/>
    </row>
    <row r="81" spans="1:8" x14ac:dyDescent="0.2">
      <c r="A81" s="905" t="s">
        <v>556</v>
      </c>
      <c r="B81" s="904"/>
      <c r="C81" s="904"/>
      <c r="D81" s="904"/>
      <c r="E81" s="904"/>
      <c r="F81" s="904"/>
      <c r="G81" s="904"/>
      <c r="H81" s="904"/>
    </row>
    <row r="82" spans="1:8" x14ac:dyDescent="0.2">
      <c r="A82" s="905" t="s">
        <v>557</v>
      </c>
      <c r="B82" s="904"/>
      <c r="C82" s="904"/>
      <c r="D82" s="904"/>
      <c r="E82" s="904"/>
      <c r="F82" s="904"/>
      <c r="G82" s="904"/>
      <c r="H82" s="904"/>
    </row>
    <row r="83" spans="1:8" x14ac:dyDescent="0.2">
      <c r="A83" s="905" t="s">
        <v>558</v>
      </c>
      <c r="B83" s="904"/>
      <c r="C83" s="904"/>
      <c r="D83" s="904"/>
      <c r="E83" s="904"/>
      <c r="F83" s="904"/>
      <c r="G83" s="904"/>
      <c r="H83" s="904"/>
    </row>
    <row r="84" spans="1:8" x14ac:dyDescent="0.2">
      <c r="A84" s="905" t="s">
        <v>559</v>
      </c>
      <c r="B84" s="904"/>
      <c r="C84" s="904"/>
      <c r="D84" s="904"/>
      <c r="E84" s="904"/>
      <c r="F84" s="904"/>
      <c r="G84" s="904"/>
      <c r="H84" s="904"/>
    </row>
    <row r="85" spans="1:8" x14ac:dyDescent="0.2">
      <c r="A85" s="905" t="s">
        <v>560</v>
      </c>
      <c r="B85" s="904"/>
      <c r="C85" s="904"/>
      <c r="D85" s="904"/>
      <c r="E85" s="904"/>
      <c r="F85" s="904"/>
      <c r="G85" s="904"/>
      <c r="H85" s="904"/>
    </row>
    <row r="86" spans="1:8" x14ac:dyDescent="0.2">
      <c r="A86" s="905" t="s">
        <v>443</v>
      </c>
      <c r="B86" s="904"/>
      <c r="C86" s="904"/>
      <c r="D86" s="904"/>
      <c r="E86" s="904"/>
      <c r="F86" s="904"/>
      <c r="G86" s="904"/>
      <c r="H86" s="904"/>
    </row>
    <row r="87" spans="1:8" x14ac:dyDescent="0.2">
      <c r="A87" s="904"/>
      <c r="B87" s="904"/>
      <c r="C87" s="904"/>
      <c r="D87" s="904"/>
      <c r="E87" s="904"/>
      <c r="F87" s="904"/>
      <c r="G87" s="904"/>
      <c r="H87" s="904"/>
    </row>
    <row r="88" spans="1:8" x14ac:dyDescent="0.2">
      <c r="A88" s="905" t="s">
        <v>549</v>
      </c>
      <c r="B88" s="904"/>
      <c r="C88" s="904"/>
      <c r="D88" s="904"/>
      <c r="E88" s="904"/>
      <c r="F88" s="904"/>
      <c r="G88" s="904"/>
      <c r="H88" s="904"/>
    </row>
    <row r="89" spans="1:8" x14ac:dyDescent="0.2">
      <c r="A89" s="905" t="s">
        <v>550</v>
      </c>
      <c r="B89" s="904"/>
      <c r="C89" s="904"/>
      <c r="D89" s="904"/>
      <c r="E89" s="904"/>
      <c r="F89" s="904"/>
      <c r="G89" s="904"/>
      <c r="H89" s="904"/>
    </row>
    <row r="90" spans="1:8" x14ac:dyDescent="0.2">
      <c r="A90" s="905" t="s">
        <v>551</v>
      </c>
      <c r="B90" s="904"/>
      <c r="C90" s="904"/>
      <c r="D90" s="904"/>
      <c r="E90" s="904"/>
      <c r="F90" s="904"/>
      <c r="G90" s="904"/>
      <c r="H90" s="904"/>
    </row>
    <row r="91" spans="1:8" x14ac:dyDescent="0.2">
      <c r="A91" s="905" t="s">
        <v>552</v>
      </c>
      <c r="B91" s="904"/>
      <c r="C91" s="904"/>
      <c r="D91" s="904"/>
      <c r="E91" s="904"/>
      <c r="F91" s="904"/>
      <c r="G91" s="904"/>
      <c r="H91" s="904"/>
    </row>
    <row r="92" spans="1:8" x14ac:dyDescent="0.2">
      <c r="A92" s="905" t="s">
        <v>553</v>
      </c>
      <c r="B92" s="904"/>
      <c r="C92" s="904"/>
      <c r="D92" s="904"/>
      <c r="E92" s="904"/>
      <c r="F92" s="904"/>
      <c r="G92" s="904"/>
      <c r="H92" s="904"/>
    </row>
    <row r="93" spans="1:8" x14ac:dyDescent="0.2">
      <c r="A93" s="905" t="s">
        <v>554</v>
      </c>
      <c r="B93" s="904"/>
      <c r="C93" s="904"/>
      <c r="D93" s="904"/>
      <c r="E93" s="904"/>
      <c r="F93" s="904"/>
      <c r="G93" s="904"/>
      <c r="H93" s="904"/>
    </row>
    <row r="94" spans="1:8" x14ac:dyDescent="0.2">
      <c r="A94" s="905" t="s">
        <v>555</v>
      </c>
      <c r="B94" s="904"/>
      <c r="C94" s="904"/>
      <c r="D94" s="904"/>
      <c r="E94" s="904"/>
      <c r="F94" s="904"/>
      <c r="G94" s="904"/>
      <c r="H94" s="904"/>
    </row>
    <row r="95" spans="1:8" x14ac:dyDescent="0.2">
      <c r="A95" s="904"/>
      <c r="B95" s="904"/>
      <c r="C95" s="904"/>
      <c r="D95" s="904"/>
      <c r="E95" s="904"/>
      <c r="F95" s="904"/>
      <c r="G95" s="904"/>
      <c r="H95" s="904"/>
    </row>
    <row r="96" spans="1:8" x14ac:dyDescent="0.2">
      <c r="A96" s="905" t="s">
        <v>547</v>
      </c>
      <c r="B96" s="904"/>
      <c r="C96" s="904"/>
      <c r="D96" s="904"/>
      <c r="E96" s="904"/>
      <c r="F96" s="904"/>
      <c r="G96" s="904"/>
      <c r="H96" s="904"/>
    </row>
    <row r="97" spans="1:8" x14ac:dyDescent="0.2">
      <c r="A97" s="905" t="s">
        <v>548</v>
      </c>
      <c r="B97" s="904"/>
      <c r="C97" s="904"/>
      <c r="D97" s="904"/>
      <c r="E97" s="904"/>
      <c r="F97" s="904"/>
      <c r="G97" s="904"/>
      <c r="H97" s="904"/>
    </row>
    <row r="98" spans="1:8" x14ac:dyDescent="0.2">
      <c r="A98" s="904"/>
      <c r="B98" s="904"/>
      <c r="C98" s="904"/>
      <c r="D98" s="904"/>
      <c r="E98" s="904"/>
      <c r="F98" s="904"/>
      <c r="G98" s="904"/>
      <c r="H98" s="904"/>
    </row>
    <row r="99" spans="1:8" ht="15.75" x14ac:dyDescent="0.2">
      <c r="A99" s="906" t="s">
        <v>319</v>
      </c>
      <c r="B99" s="904"/>
      <c r="C99" s="904"/>
      <c r="D99" s="904"/>
      <c r="E99" s="904"/>
      <c r="F99" s="904"/>
      <c r="G99" s="904"/>
      <c r="H99" s="904"/>
    </row>
    <row r="100" spans="1:8" x14ac:dyDescent="0.2">
      <c r="A100" s="904"/>
      <c r="B100" s="904"/>
      <c r="C100" s="904"/>
      <c r="D100" s="904"/>
      <c r="E100" s="904"/>
      <c r="F100" s="904"/>
      <c r="G100" s="904"/>
      <c r="H100" s="904"/>
    </row>
    <row r="101" spans="1:8" x14ac:dyDescent="0.2">
      <c r="A101" s="905" t="s">
        <v>538</v>
      </c>
      <c r="B101" s="904"/>
      <c r="C101" s="904"/>
      <c r="D101" s="904"/>
      <c r="E101" s="904"/>
      <c r="F101" s="904"/>
      <c r="G101" s="904"/>
      <c r="H101" s="904"/>
    </row>
    <row r="102" spans="1:8" x14ac:dyDescent="0.2">
      <c r="A102" s="905" t="s">
        <v>539</v>
      </c>
      <c r="B102" s="904"/>
      <c r="C102" s="904"/>
      <c r="D102" s="904"/>
      <c r="E102" s="904"/>
      <c r="F102" s="904"/>
      <c r="G102" s="904"/>
      <c r="H102" s="904"/>
    </row>
    <row r="103" spans="1:8" x14ac:dyDescent="0.2">
      <c r="A103" s="905" t="s">
        <v>540</v>
      </c>
      <c r="B103" s="904"/>
      <c r="C103" s="904"/>
      <c r="D103" s="904"/>
      <c r="E103" s="904"/>
      <c r="F103" s="904"/>
      <c r="G103" s="904"/>
      <c r="H103" s="904"/>
    </row>
    <row r="104" spans="1:8" x14ac:dyDescent="0.2">
      <c r="A104" s="905" t="s">
        <v>541</v>
      </c>
      <c r="B104" s="904"/>
      <c r="C104" s="904"/>
      <c r="D104" s="904"/>
      <c r="E104" s="904"/>
      <c r="F104" s="904"/>
      <c r="G104" s="904"/>
      <c r="H104" s="904"/>
    </row>
    <row r="105" spans="1:8" x14ac:dyDescent="0.2">
      <c r="A105" s="905" t="s">
        <v>542</v>
      </c>
      <c r="B105" s="904"/>
      <c r="C105" s="904"/>
      <c r="D105" s="904"/>
      <c r="E105" s="904"/>
      <c r="F105" s="904"/>
      <c r="G105" s="904"/>
      <c r="H105" s="904"/>
    </row>
    <row r="106" spans="1:8" x14ac:dyDescent="0.2">
      <c r="A106" s="905" t="s">
        <v>543</v>
      </c>
      <c r="B106" s="904"/>
      <c r="C106" s="904"/>
      <c r="D106" s="904"/>
      <c r="E106" s="904"/>
      <c r="F106" s="904"/>
      <c r="G106" s="904"/>
      <c r="H106" s="904"/>
    </row>
    <row r="107" spans="1:8" x14ac:dyDescent="0.2">
      <c r="A107" s="905" t="s">
        <v>544</v>
      </c>
      <c r="B107" s="904"/>
      <c r="C107" s="904"/>
      <c r="D107" s="904"/>
      <c r="E107" s="904"/>
      <c r="F107" s="904"/>
      <c r="G107" s="904"/>
      <c r="H107" s="904"/>
    </row>
    <row r="108" spans="1:8" x14ac:dyDescent="0.2">
      <c r="A108" s="905" t="s">
        <v>545</v>
      </c>
      <c r="B108" s="904"/>
      <c r="C108" s="904"/>
      <c r="D108" s="904"/>
      <c r="E108" s="904"/>
      <c r="F108" s="904"/>
      <c r="G108" s="904"/>
      <c r="H108" s="904"/>
    </row>
    <row r="109" spans="1:8" x14ac:dyDescent="0.2">
      <c r="A109" s="905" t="s">
        <v>546</v>
      </c>
      <c r="B109" s="904"/>
      <c r="C109" s="904"/>
      <c r="D109" s="904"/>
      <c r="E109" s="904"/>
      <c r="F109" s="904"/>
      <c r="G109" s="904"/>
      <c r="H109" s="904"/>
    </row>
    <row r="110" spans="1:8" x14ac:dyDescent="0.2">
      <c r="A110" s="904"/>
      <c r="B110" s="904"/>
      <c r="C110" s="904"/>
      <c r="D110" s="904"/>
      <c r="E110" s="904"/>
      <c r="F110" s="904"/>
      <c r="G110" s="904"/>
      <c r="H110" s="904"/>
    </row>
    <row r="111" spans="1:8" ht="15.75" x14ac:dyDescent="0.2">
      <c r="A111" s="925" t="s">
        <v>320</v>
      </c>
      <c r="B111" s="925"/>
      <c r="C111" s="925"/>
      <c r="D111" s="925"/>
      <c r="E111" s="925"/>
      <c r="F111" s="925"/>
      <c r="G111" s="925"/>
      <c r="H111" s="925"/>
    </row>
    <row r="112" spans="1:8" x14ac:dyDescent="0.2">
      <c r="A112" s="921" t="s">
        <v>321</v>
      </c>
      <c r="B112" s="921"/>
      <c r="C112" s="921"/>
      <c r="D112" s="921"/>
      <c r="E112" s="921"/>
      <c r="F112" s="921"/>
      <c r="G112" s="921"/>
      <c r="H112" s="921"/>
    </row>
    <row r="113" spans="1:8" x14ac:dyDescent="0.2">
      <c r="A113" s="926"/>
      <c r="B113" s="926"/>
      <c r="C113" s="926"/>
      <c r="D113" s="926"/>
      <c r="E113" s="926"/>
      <c r="F113" s="926"/>
      <c r="G113" s="926"/>
      <c r="H113" s="926"/>
    </row>
    <row r="114" spans="1:8" x14ac:dyDescent="0.2">
      <c r="A114" s="921" t="s">
        <v>536</v>
      </c>
      <c r="B114" s="921"/>
      <c r="C114" s="921"/>
      <c r="D114" s="921"/>
      <c r="E114" s="921"/>
      <c r="F114" s="921"/>
      <c r="G114" s="921"/>
      <c r="H114" s="921"/>
    </row>
    <row r="115" spans="1:8" x14ac:dyDescent="0.2">
      <c r="A115" s="905" t="s">
        <v>537</v>
      </c>
      <c r="B115" s="905"/>
      <c r="C115" s="905"/>
      <c r="D115" s="905"/>
      <c r="E115" s="905"/>
      <c r="F115" s="905"/>
      <c r="G115" s="905"/>
      <c r="H115" s="905"/>
    </row>
    <row r="116" spans="1:8" x14ac:dyDescent="0.2">
      <c r="A116" s="926"/>
      <c r="B116" s="926"/>
      <c r="C116" s="926"/>
      <c r="D116" s="926"/>
      <c r="E116" s="926"/>
      <c r="F116" s="926"/>
      <c r="G116" s="926"/>
      <c r="H116" s="926"/>
    </row>
    <row r="117" spans="1:8" x14ac:dyDescent="0.2">
      <c r="A117" s="921" t="s">
        <v>529</v>
      </c>
      <c r="B117" s="921"/>
      <c r="C117" s="921"/>
      <c r="D117" s="921"/>
      <c r="E117" s="921"/>
      <c r="F117" s="921"/>
      <c r="G117" s="921"/>
      <c r="H117" s="921"/>
    </row>
    <row r="118" spans="1:8" x14ac:dyDescent="0.2">
      <c r="A118" s="905" t="s">
        <v>530</v>
      </c>
      <c r="B118" s="905"/>
      <c r="C118" s="905"/>
      <c r="D118" s="905"/>
      <c r="E118" s="905"/>
      <c r="F118" s="905"/>
      <c r="G118" s="905"/>
      <c r="H118" s="905"/>
    </row>
    <row r="119" spans="1:8" x14ac:dyDescent="0.2">
      <c r="A119" s="905" t="s">
        <v>531</v>
      </c>
      <c r="B119" s="905"/>
      <c r="C119" s="905"/>
      <c r="D119" s="905"/>
      <c r="E119" s="905"/>
      <c r="F119" s="905"/>
      <c r="G119" s="905"/>
      <c r="H119" s="905"/>
    </row>
    <row r="120" spans="1:8" x14ac:dyDescent="0.2">
      <c r="A120" s="905" t="s">
        <v>532</v>
      </c>
      <c r="B120" s="905"/>
      <c r="C120" s="905"/>
      <c r="D120" s="905"/>
      <c r="E120" s="905"/>
      <c r="F120" s="905"/>
      <c r="G120" s="905"/>
      <c r="H120" s="905"/>
    </row>
    <row r="121" spans="1:8" x14ac:dyDescent="0.2">
      <c r="A121" s="905" t="s">
        <v>533</v>
      </c>
      <c r="B121" s="905"/>
      <c r="C121" s="905"/>
      <c r="D121" s="905"/>
      <c r="E121" s="905"/>
      <c r="F121" s="905"/>
      <c r="G121" s="905"/>
      <c r="H121" s="905"/>
    </row>
    <row r="122" spans="1:8" x14ac:dyDescent="0.2">
      <c r="A122" s="905" t="s">
        <v>534</v>
      </c>
      <c r="B122" s="905"/>
      <c r="C122" s="905"/>
      <c r="D122" s="905"/>
      <c r="E122" s="905"/>
      <c r="F122" s="905"/>
      <c r="G122" s="905"/>
      <c r="H122" s="905"/>
    </row>
    <row r="123" spans="1:8" x14ac:dyDescent="0.2">
      <c r="A123" s="905" t="s">
        <v>535</v>
      </c>
      <c r="B123" s="905"/>
      <c r="C123" s="905"/>
      <c r="D123" s="905"/>
      <c r="E123" s="905"/>
      <c r="F123" s="905"/>
      <c r="G123" s="905"/>
      <c r="H123" s="905"/>
    </row>
    <row r="124" spans="1:8" x14ac:dyDescent="0.2">
      <c r="A124" s="927"/>
      <c r="B124" s="927"/>
      <c r="C124" s="927"/>
      <c r="D124" s="927"/>
      <c r="E124" s="927"/>
      <c r="F124" s="927"/>
      <c r="G124" s="927"/>
      <c r="H124" s="927"/>
    </row>
    <row r="125" spans="1:8" x14ac:dyDescent="0.2">
      <c r="A125" s="907"/>
      <c r="B125" s="922" t="s">
        <v>322</v>
      </c>
      <c r="C125" s="923"/>
      <c r="D125" s="922" t="s">
        <v>323</v>
      </c>
      <c r="E125" s="924"/>
      <c r="F125" s="923"/>
      <c r="G125" s="922" t="s">
        <v>324</v>
      </c>
      <c r="H125" s="923"/>
    </row>
    <row r="126" spans="1:8" x14ac:dyDescent="0.2">
      <c r="A126" s="907" t="s">
        <v>325</v>
      </c>
      <c r="B126" s="907" t="s">
        <v>237</v>
      </c>
      <c r="C126" s="907" t="s">
        <v>243</v>
      </c>
      <c r="D126" s="907" t="s">
        <v>237</v>
      </c>
      <c r="E126" s="907" t="s">
        <v>326</v>
      </c>
      <c r="F126" s="907" t="s">
        <v>327</v>
      </c>
      <c r="G126" s="907" t="s">
        <v>237</v>
      </c>
      <c r="H126" s="907" t="s">
        <v>328</v>
      </c>
    </row>
    <row r="127" spans="1:8" x14ac:dyDescent="0.2">
      <c r="A127" s="907" t="s">
        <v>329</v>
      </c>
      <c r="B127" s="907">
        <v>1189</v>
      </c>
      <c r="C127" s="908">
        <v>0.38</v>
      </c>
      <c r="D127" s="907">
        <v>315</v>
      </c>
      <c r="E127" s="908">
        <v>0.41</v>
      </c>
      <c r="F127" s="908">
        <v>0.26</v>
      </c>
      <c r="G127" s="907">
        <v>555</v>
      </c>
      <c r="H127" s="908">
        <v>0.39</v>
      </c>
    </row>
    <row r="128" spans="1:8" x14ac:dyDescent="0.2">
      <c r="A128" s="907" t="s">
        <v>330</v>
      </c>
      <c r="B128" s="907">
        <v>1355</v>
      </c>
      <c r="C128" s="908">
        <v>0.43</v>
      </c>
      <c r="D128" s="907">
        <v>364</v>
      </c>
      <c r="E128" s="908">
        <v>0.47</v>
      </c>
      <c r="F128" s="908">
        <v>0.27</v>
      </c>
      <c r="G128" s="907">
        <v>644</v>
      </c>
      <c r="H128" s="908">
        <v>0.45</v>
      </c>
    </row>
    <row r="129" spans="1:8" x14ac:dyDescent="0.2">
      <c r="A129" s="907" t="s">
        <v>331</v>
      </c>
      <c r="B129" s="907">
        <v>53</v>
      </c>
      <c r="C129" s="908">
        <v>0.02</v>
      </c>
      <c r="D129" s="907">
        <v>4</v>
      </c>
      <c r="E129" s="908">
        <v>0.01</v>
      </c>
      <c r="F129" s="908">
        <v>0.08</v>
      </c>
      <c r="G129" s="907">
        <v>7</v>
      </c>
      <c r="H129" s="908">
        <v>0</v>
      </c>
    </row>
    <row r="130" spans="1:8" x14ac:dyDescent="0.2">
      <c r="A130" s="907" t="s">
        <v>332</v>
      </c>
      <c r="B130" s="907">
        <v>545</v>
      </c>
      <c r="C130" s="908">
        <v>0.17</v>
      </c>
      <c r="D130" s="907">
        <v>84</v>
      </c>
      <c r="E130" s="908">
        <v>0.11</v>
      </c>
      <c r="F130" s="908">
        <v>0.15</v>
      </c>
      <c r="G130" s="907">
        <v>214</v>
      </c>
      <c r="H130" s="908">
        <v>0.15</v>
      </c>
    </row>
    <row r="131" spans="1:8" x14ac:dyDescent="0.2">
      <c r="A131" s="907" t="s">
        <v>223</v>
      </c>
      <c r="B131" s="909">
        <v>3142</v>
      </c>
      <c r="C131" s="907"/>
      <c r="D131" s="907">
        <v>767</v>
      </c>
      <c r="E131" s="907"/>
      <c r="F131" s="907"/>
      <c r="G131" s="907">
        <v>1420</v>
      </c>
      <c r="H131" s="907"/>
    </row>
    <row r="132" spans="1:8" x14ac:dyDescent="0.2">
      <c r="A132" s="920"/>
      <c r="B132" s="920"/>
      <c r="C132" s="920"/>
      <c r="D132" s="920"/>
      <c r="E132" s="920"/>
      <c r="F132" s="920"/>
      <c r="G132" s="920"/>
      <c r="H132" s="920"/>
    </row>
    <row r="133" spans="1:8" x14ac:dyDescent="0.2">
      <c r="A133" s="921" t="s">
        <v>525</v>
      </c>
      <c r="B133" s="921"/>
      <c r="C133" s="921"/>
      <c r="D133" s="921"/>
      <c r="E133" s="921"/>
      <c r="F133" s="921"/>
      <c r="G133" s="921"/>
      <c r="H133" s="921"/>
    </row>
    <row r="134" spans="1:8" x14ac:dyDescent="0.2">
      <c r="A134" s="905" t="s">
        <v>526</v>
      </c>
      <c r="B134" s="905"/>
      <c r="C134" s="905"/>
      <c r="D134" s="905"/>
      <c r="E134" s="905"/>
      <c r="F134" s="905"/>
      <c r="G134" s="905"/>
      <c r="H134" s="905"/>
    </row>
    <row r="135" spans="1:8" x14ac:dyDescent="0.2">
      <c r="A135" s="905" t="s">
        <v>527</v>
      </c>
      <c r="B135" s="905"/>
      <c r="C135" s="905"/>
      <c r="D135" s="905"/>
      <c r="E135" s="905"/>
      <c r="F135" s="905"/>
      <c r="G135" s="905"/>
      <c r="H135" s="905"/>
    </row>
    <row r="136" spans="1:8" x14ac:dyDescent="0.2">
      <c r="A136" s="905" t="s">
        <v>528</v>
      </c>
      <c r="B136" s="905"/>
      <c r="C136" s="905"/>
      <c r="D136" s="905"/>
      <c r="E136" s="905"/>
      <c r="F136" s="905"/>
      <c r="G136" s="905"/>
      <c r="H136" s="905"/>
    </row>
    <row r="137" spans="1:8" x14ac:dyDescent="0.2">
      <c r="A137" s="904"/>
      <c r="B137" s="904"/>
      <c r="C137" s="904"/>
      <c r="D137" s="904"/>
      <c r="E137" s="904"/>
      <c r="F137" s="904"/>
      <c r="G137" s="904"/>
      <c r="H137" s="904"/>
    </row>
    <row r="138" spans="1:8" ht="15.75" x14ac:dyDescent="0.2">
      <c r="A138" s="906" t="s">
        <v>333</v>
      </c>
      <c r="B138" s="904"/>
      <c r="C138" s="904"/>
      <c r="D138" s="904"/>
      <c r="E138" s="904"/>
      <c r="F138" s="904"/>
      <c r="G138" s="904"/>
      <c r="H138" s="904"/>
    </row>
    <row r="139" spans="1:8" x14ac:dyDescent="0.2">
      <c r="A139" s="904"/>
      <c r="B139" s="904"/>
      <c r="C139" s="904"/>
      <c r="D139" s="904"/>
      <c r="E139" s="904"/>
      <c r="F139" s="904"/>
      <c r="G139" s="904"/>
      <c r="H139" s="904"/>
    </row>
    <row r="140" spans="1:8" x14ac:dyDescent="0.2">
      <c r="A140" s="905" t="s">
        <v>523</v>
      </c>
      <c r="B140" s="904"/>
      <c r="C140" s="904"/>
      <c r="D140" s="904"/>
      <c r="E140" s="904"/>
      <c r="F140" s="904"/>
      <c r="G140" s="904"/>
      <c r="H140" s="904"/>
    </row>
    <row r="141" spans="1:8" x14ac:dyDescent="0.2">
      <c r="A141" s="905" t="s">
        <v>524</v>
      </c>
      <c r="B141" s="904"/>
      <c r="C141" s="904"/>
      <c r="D141" s="904"/>
      <c r="E141" s="904"/>
      <c r="F141" s="904"/>
      <c r="G141" s="904"/>
      <c r="H141" s="904"/>
    </row>
    <row r="142" spans="1:8" x14ac:dyDescent="0.2">
      <c r="A142" s="904"/>
      <c r="B142" s="904"/>
      <c r="C142" s="904"/>
      <c r="D142" s="904"/>
      <c r="E142" s="904"/>
      <c r="F142" s="904"/>
      <c r="G142" s="904"/>
      <c r="H142" s="904"/>
    </row>
    <row r="143" spans="1:8" x14ac:dyDescent="0.2">
      <c r="A143" s="905" t="s">
        <v>520</v>
      </c>
      <c r="B143" s="904"/>
      <c r="C143" s="904"/>
      <c r="D143" s="904"/>
      <c r="E143" s="904"/>
      <c r="F143" s="904"/>
      <c r="G143" s="904"/>
      <c r="H143" s="904"/>
    </row>
    <row r="144" spans="1:8" x14ac:dyDescent="0.2">
      <c r="A144" s="905" t="s">
        <v>521</v>
      </c>
      <c r="B144" s="904"/>
      <c r="C144" s="904"/>
      <c r="D144" s="904"/>
      <c r="E144" s="904"/>
      <c r="F144" s="904"/>
      <c r="G144" s="904"/>
      <c r="H144" s="904"/>
    </row>
    <row r="145" spans="1:8" x14ac:dyDescent="0.2">
      <c r="A145" s="905" t="s">
        <v>522</v>
      </c>
      <c r="B145" s="904"/>
      <c r="C145" s="904"/>
      <c r="D145" s="904"/>
      <c r="E145" s="904"/>
      <c r="F145" s="904"/>
      <c r="G145" s="904"/>
      <c r="H145" s="904"/>
    </row>
    <row r="146" spans="1:8" x14ac:dyDescent="0.2">
      <c r="A146" s="904"/>
      <c r="B146" s="904"/>
      <c r="C146" s="904"/>
      <c r="D146" s="904"/>
      <c r="E146" s="904"/>
      <c r="F146" s="904"/>
      <c r="G146" s="904"/>
      <c r="H146" s="904"/>
    </row>
    <row r="147" spans="1:8" x14ac:dyDescent="0.2">
      <c r="A147" s="905" t="s">
        <v>517</v>
      </c>
      <c r="B147" s="904"/>
      <c r="C147" s="904"/>
      <c r="D147" s="904"/>
      <c r="E147" s="904"/>
      <c r="F147" s="904"/>
      <c r="G147" s="904"/>
      <c r="H147" s="904"/>
    </row>
    <row r="148" spans="1:8" x14ac:dyDescent="0.2">
      <c r="A148" s="905" t="s">
        <v>518</v>
      </c>
      <c r="B148" s="904"/>
      <c r="C148" s="904"/>
      <c r="D148" s="904"/>
      <c r="E148" s="904"/>
      <c r="F148" s="904"/>
      <c r="G148" s="904"/>
      <c r="H148" s="904"/>
    </row>
    <row r="149" spans="1:8" x14ac:dyDescent="0.2">
      <c r="A149" s="905" t="s">
        <v>519</v>
      </c>
      <c r="B149" s="904"/>
      <c r="C149" s="904"/>
      <c r="D149" s="904"/>
      <c r="E149" s="904"/>
      <c r="F149" s="904"/>
      <c r="G149" s="904"/>
      <c r="H149" s="904"/>
    </row>
    <row r="150" spans="1:8" x14ac:dyDescent="0.2">
      <c r="A150" s="904"/>
      <c r="B150" s="904"/>
      <c r="C150" s="904"/>
      <c r="D150" s="904"/>
      <c r="E150" s="904"/>
      <c r="F150" s="904"/>
      <c r="G150" s="904"/>
      <c r="H150" s="904"/>
    </row>
    <row r="151" spans="1:8" x14ac:dyDescent="0.2">
      <c r="A151" s="905" t="s">
        <v>514</v>
      </c>
      <c r="B151" s="904"/>
      <c r="C151" s="904"/>
      <c r="D151" s="904"/>
      <c r="E151" s="904"/>
      <c r="F151" s="904"/>
      <c r="G151" s="904"/>
      <c r="H151" s="904"/>
    </row>
    <row r="152" spans="1:8" x14ac:dyDescent="0.2">
      <c r="A152" s="905" t="s">
        <v>515</v>
      </c>
      <c r="B152" s="904"/>
      <c r="C152" s="904"/>
      <c r="D152" s="904"/>
      <c r="E152" s="904"/>
      <c r="F152" s="904"/>
      <c r="G152" s="904"/>
      <c r="H152" s="904"/>
    </row>
    <row r="153" spans="1:8" x14ac:dyDescent="0.2">
      <c r="A153" s="905" t="s">
        <v>516</v>
      </c>
      <c r="B153" s="904"/>
      <c r="C153" s="904"/>
      <c r="D153" s="904"/>
      <c r="E153" s="904"/>
      <c r="F153" s="904"/>
      <c r="G153" s="904"/>
      <c r="H153" s="904"/>
    </row>
    <row r="154" spans="1:8" x14ac:dyDescent="0.2">
      <c r="A154" s="904"/>
      <c r="B154" s="904"/>
      <c r="C154" s="904"/>
      <c r="D154" s="904"/>
      <c r="E154" s="904"/>
      <c r="F154" s="904"/>
      <c r="G154" s="904"/>
      <c r="H154" s="904"/>
    </row>
    <row r="155" spans="1:8" x14ac:dyDescent="0.2">
      <c r="A155" s="905" t="s">
        <v>512</v>
      </c>
      <c r="B155" s="904"/>
      <c r="C155" s="904"/>
      <c r="D155" s="904"/>
      <c r="E155" s="904"/>
      <c r="F155" s="904"/>
      <c r="G155" s="904"/>
      <c r="H155" s="904"/>
    </row>
    <row r="156" spans="1:8" x14ac:dyDescent="0.2">
      <c r="A156" s="905" t="s">
        <v>513</v>
      </c>
      <c r="B156" s="904"/>
      <c r="C156" s="904"/>
      <c r="D156" s="904"/>
      <c r="E156" s="904"/>
      <c r="F156" s="904"/>
      <c r="G156" s="904"/>
      <c r="H156" s="904"/>
    </row>
    <row r="157" spans="1:8" x14ac:dyDescent="0.2">
      <c r="A157" s="904"/>
      <c r="B157" s="904"/>
      <c r="C157" s="904"/>
      <c r="D157" s="904"/>
      <c r="E157" s="904"/>
      <c r="F157" s="904"/>
      <c r="G157" s="904"/>
      <c r="H157" s="904"/>
    </row>
    <row r="158" spans="1:8" ht="15.75" x14ac:dyDescent="0.2">
      <c r="A158" s="906" t="s">
        <v>334</v>
      </c>
      <c r="B158" s="904"/>
      <c r="C158" s="904"/>
      <c r="D158" s="904"/>
      <c r="E158" s="904"/>
      <c r="F158" s="904"/>
      <c r="G158" s="904"/>
      <c r="H158" s="904"/>
    </row>
    <row r="159" spans="1:8" x14ac:dyDescent="0.2">
      <c r="A159" s="904"/>
      <c r="B159" s="904"/>
      <c r="C159" s="904"/>
      <c r="D159" s="904"/>
      <c r="E159" s="904"/>
      <c r="F159" s="904"/>
      <c r="G159" s="904"/>
      <c r="H159" s="904"/>
    </row>
    <row r="160" spans="1:8" x14ac:dyDescent="0.2">
      <c r="A160" s="905" t="s">
        <v>510</v>
      </c>
      <c r="B160" s="904"/>
      <c r="C160" s="904"/>
      <c r="D160" s="904"/>
      <c r="E160" s="904"/>
      <c r="F160" s="904"/>
      <c r="G160" s="904"/>
      <c r="H160" s="904"/>
    </row>
    <row r="161" spans="1:8" x14ac:dyDescent="0.2">
      <c r="A161" s="905" t="s">
        <v>511</v>
      </c>
      <c r="B161" s="904"/>
      <c r="C161" s="904"/>
      <c r="D161" s="904"/>
      <c r="E161" s="904"/>
      <c r="F161" s="904"/>
      <c r="G161" s="904"/>
      <c r="H161" s="904"/>
    </row>
    <row r="162" spans="1:8" x14ac:dyDescent="0.2">
      <c r="A162" s="904"/>
      <c r="B162" s="904"/>
      <c r="C162" s="904"/>
      <c r="D162" s="904"/>
      <c r="E162" s="904"/>
      <c r="F162" s="904"/>
      <c r="G162" s="904"/>
      <c r="H162" s="904"/>
    </row>
    <row r="163" spans="1:8" x14ac:dyDescent="0.2">
      <c r="A163" s="905" t="s">
        <v>508</v>
      </c>
      <c r="B163" s="904"/>
      <c r="C163" s="904"/>
      <c r="D163" s="904"/>
      <c r="E163" s="904"/>
      <c r="F163" s="904"/>
      <c r="G163" s="904"/>
      <c r="H163" s="904"/>
    </row>
    <row r="164" spans="1:8" x14ac:dyDescent="0.2">
      <c r="A164" s="905" t="s">
        <v>509</v>
      </c>
      <c r="B164" s="904"/>
      <c r="C164" s="904"/>
      <c r="D164" s="904"/>
      <c r="E164" s="904"/>
      <c r="F164" s="904"/>
      <c r="G164" s="904"/>
      <c r="H164" s="904"/>
    </row>
    <row r="165" spans="1:8" x14ac:dyDescent="0.2">
      <c r="A165" s="904"/>
      <c r="B165" s="904"/>
      <c r="C165" s="904"/>
      <c r="D165" s="904"/>
      <c r="E165" s="904"/>
      <c r="F165" s="904"/>
      <c r="G165" s="904"/>
      <c r="H165" s="904"/>
    </row>
    <row r="166" spans="1:8" x14ac:dyDescent="0.2">
      <c r="A166" s="905" t="s">
        <v>506</v>
      </c>
      <c r="B166" s="904"/>
      <c r="C166" s="904"/>
      <c r="D166" s="904"/>
      <c r="E166" s="904"/>
      <c r="F166" s="904"/>
      <c r="G166" s="904"/>
      <c r="H166" s="904"/>
    </row>
    <row r="167" spans="1:8" x14ac:dyDescent="0.2">
      <c r="A167" s="905" t="s">
        <v>507</v>
      </c>
      <c r="B167" s="904"/>
      <c r="C167" s="904"/>
      <c r="D167" s="904"/>
      <c r="E167" s="904"/>
      <c r="F167" s="904"/>
      <c r="G167" s="904"/>
      <c r="H167" s="904"/>
    </row>
    <row r="168" spans="1:8" x14ac:dyDescent="0.2">
      <c r="A168" s="904"/>
      <c r="B168" s="904"/>
      <c r="C168" s="904"/>
      <c r="D168" s="904"/>
      <c r="E168" s="904"/>
      <c r="F168" s="904"/>
      <c r="G168" s="904"/>
      <c r="H168" s="904"/>
    </row>
    <row r="169" spans="1:8" x14ac:dyDescent="0.2">
      <c r="A169" s="905" t="s">
        <v>503</v>
      </c>
      <c r="B169" s="904"/>
      <c r="C169" s="904"/>
      <c r="D169" s="904"/>
      <c r="E169" s="904"/>
      <c r="F169" s="904"/>
      <c r="G169" s="904"/>
      <c r="H169" s="904"/>
    </row>
    <row r="170" spans="1:8" x14ac:dyDescent="0.2">
      <c r="A170" s="905" t="s">
        <v>504</v>
      </c>
      <c r="B170" s="904"/>
      <c r="C170" s="904"/>
      <c r="D170" s="904"/>
      <c r="E170" s="904"/>
      <c r="F170" s="904"/>
      <c r="G170" s="904"/>
      <c r="H170" s="904"/>
    </row>
    <row r="171" spans="1:8" x14ac:dyDescent="0.2">
      <c r="A171" s="905" t="s">
        <v>505</v>
      </c>
      <c r="B171" s="904"/>
      <c r="C171" s="904"/>
      <c r="D171" s="904"/>
      <c r="E171" s="904"/>
      <c r="F171" s="904"/>
      <c r="G171" s="904"/>
      <c r="H171" s="904"/>
    </row>
    <row r="172" spans="1:8" x14ac:dyDescent="0.2">
      <c r="A172" s="904"/>
      <c r="B172" s="904"/>
      <c r="C172" s="904"/>
      <c r="D172" s="904"/>
      <c r="E172" s="904"/>
      <c r="F172" s="904"/>
      <c r="G172" s="904"/>
      <c r="H172" s="904"/>
    </row>
    <row r="173" spans="1:8" x14ac:dyDescent="0.2">
      <c r="A173" s="904"/>
      <c r="B173" s="904"/>
      <c r="C173" s="904"/>
      <c r="D173" s="904"/>
      <c r="E173" s="904"/>
      <c r="F173" s="904"/>
      <c r="G173" s="904"/>
      <c r="H173" s="904"/>
    </row>
    <row r="174" spans="1:8" x14ac:dyDescent="0.2">
      <c r="A174" s="905" t="s">
        <v>335</v>
      </c>
      <c r="B174" s="904"/>
      <c r="C174" s="904"/>
      <c r="D174" s="904"/>
      <c r="E174" s="904"/>
      <c r="F174" s="904"/>
      <c r="G174" s="904"/>
      <c r="H174" s="904"/>
    </row>
    <row r="175" spans="1:8" x14ac:dyDescent="0.2">
      <c r="A175" s="904"/>
      <c r="B175" s="904"/>
      <c r="C175" s="904"/>
      <c r="D175" s="904"/>
      <c r="E175" s="904"/>
      <c r="F175" s="904"/>
      <c r="G175" s="904"/>
      <c r="H175" s="904"/>
    </row>
    <row r="176" spans="1:8" ht="15.75" x14ac:dyDescent="0.2">
      <c r="A176" s="906" t="s">
        <v>336</v>
      </c>
      <c r="B176" s="904"/>
      <c r="C176" s="904"/>
      <c r="D176" s="904"/>
      <c r="E176" s="904"/>
      <c r="F176" s="904"/>
      <c r="G176" s="904"/>
      <c r="H176" s="904"/>
    </row>
    <row r="177" spans="1:8" x14ac:dyDescent="0.2">
      <c r="A177" s="904"/>
      <c r="B177" s="904"/>
      <c r="C177" s="904"/>
      <c r="D177" s="904"/>
      <c r="E177" s="904"/>
      <c r="F177" s="904"/>
      <c r="G177" s="904"/>
      <c r="H177" s="904"/>
    </row>
    <row r="178" spans="1:8" x14ac:dyDescent="0.2">
      <c r="A178" s="904"/>
      <c r="B178" s="904"/>
      <c r="C178" s="904"/>
      <c r="D178" s="904"/>
      <c r="E178" s="904"/>
      <c r="F178" s="904"/>
      <c r="G178" s="904"/>
      <c r="H178" s="904"/>
    </row>
    <row r="179" spans="1:8" x14ac:dyDescent="0.2">
      <c r="A179" s="904"/>
      <c r="B179" s="904"/>
      <c r="C179" s="904"/>
      <c r="D179" s="904"/>
      <c r="E179" s="904"/>
      <c r="F179" s="904"/>
      <c r="G179" s="904"/>
      <c r="H179" s="904"/>
    </row>
    <row r="180" spans="1:8" x14ac:dyDescent="0.2">
      <c r="A180" s="904"/>
      <c r="B180" s="904"/>
      <c r="C180" s="904"/>
      <c r="D180" s="904"/>
      <c r="E180" s="904"/>
      <c r="F180" s="904"/>
      <c r="G180" s="904"/>
      <c r="H180" s="904"/>
    </row>
    <row r="181" spans="1:8" x14ac:dyDescent="0.2">
      <c r="A181" s="904"/>
      <c r="B181" s="904"/>
      <c r="C181" s="904"/>
      <c r="D181" s="904"/>
      <c r="E181" s="904"/>
      <c r="F181" s="904"/>
      <c r="G181" s="904"/>
      <c r="H181" s="904"/>
    </row>
    <row r="182" spans="1:8" x14ac:dyDescent="0.2">
      <c r="A182" s="904"/>
      <c r="B182" s="904"/>
      <c r="C182" s="904"/>
      <c r="D182" s="904"/>
      <c r="E182" s="904"/>
      <c r="F182" s="904"/>
      <c r="G182" s="904"/>
      <c r="H182" s="904"/>
    </row>
    <row r="183" spans="1:8" x14ac:dyDescent="0.2">
      <c r="A183" s="904"/>
      <c r="B183" s="904"/>
      <c r="C183" s="904"/>
      <c r="D183" s="904"/>
      <c r="E183" s="904"/>
      <c r="F183" s="904"/>
      <c r="G183" s="904"/>
      <c r="H183" s="904"/>
    </row>
    <row r="184" spans="1:8" x14ac:dyDescent="0.2">
      <c r="A184" s="904"/>
      <c r="B184" s="904"/>
      <c r="C184" s="904"/>
      <c r="D184" s="904"/>
      <c r="E184" s="904"/>
      <c r="F184" s="904"/>
      <c r="G184" s="904"/>
      <c r="H184" s="904"/>
    </row>
    <row r="185" spans="1:8" x14ac:dyDescent="0.2">
      <c r="A185" s="904"/>
      <c r="B185" s="904"/>
      <c r="C185" s="904"/>
      <c r="D185" s="904"/>
      <c r="E185" s="904"/>
      <c r="F185" s="904"/>
      <c r="G185" s="904"/>
      <c r="H185" s="904"/>
    </row>
    <row r="186" spans="1:8" x14ac:dyDescent="0.2">
      <c r="A186" s="904"/>
      <c r="B186" s="904"/>
      <c r="C186" s="904"/>
      <c r="D186" s="904"/>
      <c r="E186" s="904"/>
      <c r="F186" s="904"/>
      <c r="G186" s="904"/>
      <c r="H186" s="904"/>
    </row>
    <row r="187" spans="1:8" x14ac:dyDescent="0.2">
      <c r="A187" s="904"/>
      <c r="B187" s="904"/>
      <c r="C187" s="904"/>
      <c r="D187" s="904"/>
      <c r="E187" s="904"/>
      <c r="F187" s="904"/>
      <c r="G187" s="904"/>
      <c r="H187" s="904"/>
    </row>
    <row r="188" spans="1:8" x14ac:dyDescent="0.2">
      <c r="A188" s="904"/>
      <c r="B188" s="904"/>
      <c r="C188" s="904"/>
      <c r="D188" s="904"/>
      <c r="E188" s="904"/>
      <c r="F188" s="904"/>
      <c r="G188" s="904"/>
      <c r="H188" s="904"/>
    </row>
    <row r="189" spans="1:8" x14ac:dyDescent="0.2">
      <c r="A189" s="904"/>
      <c r="B189" s="904"/>
      <c r="C189" s="904"/>
      <c r="D189" s="904"/>
      <c r="E189" s="904"/>
      <c r="F189" s="904"/>
      <c r="G189" s="904"/>
      <c r="H189" s="904"/>
    </row>
    <row r="190" spans="1:8" x14ac:dyDescent="0.2">
      <c r="A190" s="904"/>
      <c r="B190" s="904"/>
      <c r="C190" s="904"/>
      <c r="D190" s="904"/>
      <c r="E190" s="904"/>
      <c r="F190" s="904"/>
      <c r="G190" s="904"/>
      <c r="H190" s="904"/>
    </row>
    <row r="191" spans="1:8" x14ac:dyDescent="0.2">
      <c r="A191" s="904"/>
      <c r="B191" s="904"/>
      <c r="C191" s="904"/>
      <c r="D191" s="904"/>
      <c r="E191" s="904"/>
      <c r="F191" s="904"/>
      <c r="G191" s="904"/>
      <c r="H191" s="904"/>
    </row>
    <row r="192" spans="1:8" x14ac:dyDescent="0.2">
      <c r="A192" s="904"/>
      <c r="B192" s="904"/>
      <c r="C192" s="904"/>
      <c r="D192" s="904"/>
      <c r="E192" s="904"/>
      <c r="F192" s="904"/>
      <c r="G192" s="904"/>
      <c r="H192" s="904"/>
    </row>
    <row r="193" spans="1:8" x14ac:dyDescent="0.2">
      <c r="A193" s="904"/>
      <c r="B193" s="904"/>
      <c r="C193" s="904"/>
      <c r="D193" s="904"/>
      <c r="E193" s="904"/>
      <c r="F193" s="904"/>
      <c r="G193" s="904"/>
      <c r="H193" s="904"/>
    </row>
    <row r="194" spans="1:8" x14ac:dyDescent="0.2">
      <c r="A194" s="904"/>
      <c r="B194" s="904"/>
      <c r="C194" s="904"/>
      <c r="D194" s="904"/>
      <c r="E194" s="904"/>
      <c r="F194" s="904"/>
      <c r="G194" s="904"/>
      <c r="H194" s="904"/>
    </row>
    <row r="195" spans="1:8" x14ac:dyDescent="0.2">
      <c r="A195" s="904"/>
      <c r="B195" s="904"/>
      <c r="C195" s="904"/>
      <c r="D195" s="904"/>
      <c r="E195" s="904"/>
      <c r="F195" s="904"/>
      <c r="G195" s="904"/>
      <c r="H195" s="904"/>
    </row>
    <row r="196" spans="1:8" x14ac:dyDescent="0.2">
      <c r="A196" s="904"/>
      <c r="B196" s="904"/>
      <c r="C196" s="904"/>
      <c r="D196" s="904"/>
      <c r="E196" s="904"/>
      <c r="F196" s="904"/>
      <c r="G196" s="904"/>
      <c r="H196" s="904"/>
    </row>
    <row r="197" spans="1:8" x14ac:dyDescent="0.2">
      <c r="A197" s="904"/>
      <c r="B197" s="904"/>
      <c r="C197" s="904"/>
      <c r="D197" s="904"/>
      <c r="E197" s="904"/>
      <c r="F197" s="904"/>
      <c r="G197" s="904"/>
      <c r="H197" s="904"/>
    </row>
    <row r="198" spans="1:8" x14ac:dyDescent="0.2">
      <c r="A198" s="904"/>
      <c r="B198" s="904"/>
      <c r="C198" s="904"/>
      <c r="D198" s="904"/>
      <c r="E198" s="904"/>
      <c r="F198" s="904"/>
      <c r="G198" s="904"/>
      <c r="H198" s="904"/>
    </row>
    <row r="199" spans="1:8" x14ac:dyDescent="0.2">
      <c r="A199" s="904"/>
      <c r="B199" s="904"/>
      <c r="C199" s="904"/>
      <c r="D199" s="904"/>
      <c r="E199" s="904"/>
      <c r="F199" s="904"/>
      <c r="G199" s="904"/>
      <c r="H199" s="904"/>
    </row>
    <row r="200" spans="1:8" x14ac:dyDescent="0.2">
      <c r="A200" s="904"/>
      <c r="B200" s="904"/>
      <c r="C200" s="904"/>
      <c r="D200" s="904"/>
      <c r="E200" s="904"/>
      <c r="F200" s="904"/>
      <c r="G200" s="904"/>
      <c r="H200" s="904"/>
    </row>
    <row r="201" spans="1:8" x14ac:dyDescent="0.2">
      <c r="A201" s="904"/>
      <c r="B201" s="904"/>
      <c r="C201" s="904"/>
      <c r="D201" s="904"/>
      <c r="E201" s="904"/>
      <c r="F201" s="904"/>
      <c r="G201" s="904"/>
      <c r="H201" s="904"/>
    </row>
    <row r="202" spans="1:8" ht="15.75" x14ac:dyDescent="0.2">
      <c r="A202" s="906" t="s">
        <v>337</v>
      </c>
      <c r="B202" s="904"/>
      <c r="C202" s="904"/>
      <c r="D202" s="904"/>
      <c r="E202" s="904"/>
      <c r="F202" s="904"/>
      <c r="G202" s="904"/>
      <c r="H202" s="904"/>
    </row>
    <row r="203" spans="1:8" x14ac:dyDescent="0.2">
      <c r="A203" s="904"/>
      <c r="B203" s="904"/>
      <c r="C203" s="904"/>
      <c r="D203" s="904"/>
      <c r="E203" s="904"/>
      <c r="F203" s="904"/>
      <c r="G203" s="904"/>
      <c r="H203" s="904"/>
    </row>
    <row r="204" spans="1:8" x14ac:dyDescent="0.2">
      <c r="A204" s="905" t="s">
        <v>498</v>
      </c>
      <c r="B204" s="904"/>
      <c r="C204" s="904"/>
      <c r="D204" s="904"/>
      <c r="E204" s="904"/>
      <c r="F204" s="904"/>
      <c r="G204" s="904"/>
      <c r="H204" s="904"/>
    </row>
    <row r="205" spans="1:8" x14ac:dyDescent="0.2">
      <c r="A205" s="905" t="s">
        <v>499</v>
      </c>
      <c r="B205" s="904"/>
      <c r="C205" s="904"/>
      <c r="D205" s="904"/>
      <c r="E205" s="904"/>
      <c r="F205" s="904"/>
      <c r="G205" s="904"/>
      <c r="H205" s="904"/>
    </row>
    <row r="206" spans="1:8" x14ac:dyDescent="0.2">
      <c r="A206" s="905" t="s">
        <v>500</v>
      </c>
      <c r="B206" s="904"/>
      <c r="C206" s="904"/>
      <c r="D206" s="904"/>
      <c r="E206" s="904"/>
      <c r="F206" s="904"/>
      <c r="G206" s="904"/>
      <c r="H206" s="904"/>
    </row>
    <row r="207" spans="1:8" x14ac:dyDescent="0.2">
      <c r="A207" s="905" t="s">
        <v>501</v>
      </c>
      <c r="B207" s="904"/>
      <c r="C207" s="904"/>
      <c r="D207" s="904"/>
      <c r="E207" s="904"/>
      <c r="F207" s="904"/>
      <c r="G207" s="904"/>
      <c r="H207" s="904"/>
    </row>
    <row r="208" spans="1:8" x14ac:dyDescent="0.2">
      <c r="A208" s="905" t="s">
        <v>502</v>
      </c>
      <c r="B208" s="904"/>
      <c r="C208" s="904"/>
      <c r="D208" s="904"/>
      <c r="E208" s="904"/>
      <c r="F208" s="904"/>
      <c r="G208" s="904"/>
      <c r="H208" s="904"/>
    </row>
    <row r="209" spans="1:8" x14ac:dyDescent="0.2">
      <c r="A209" s="904"/>
      <c r="B209" s="904"/>
      <c r="C209" s="904"/>
      <c r="D209" s="904"/>
      <c r="E209" s="904"/>
      <c r="F209" s="904"/>
      <c r="G209" s="904"/>
      <c r="H209" s="904"/>
    </row>
    <row r="210" spans="1:8" x14ac:dyDescent="0.2">
      <c r="A210" s="905" t="s">
        <v>495</v>
      </c>
      <c r="B210" s="904"/>
      <c r="C210" s="904"/>
      <c r="D210" s="904"/>
      <c r="E210" s="904"/>
      <c r="F210" s="904"/>
      <c r="G210" s="904"/>
      <c r="H210" s="904"/>
    </row>
    <row r="211" spans="1:8" x14ac:dyDescent="0.2">
      <c r="A211" s="905" t="s">
        <v>496</v>
      </c>
      <c r="B211" s="904"/>
      <c r="C211" s="904"/>
      <c r="D211" s="904"/>
      <c r="E211" s="904"/>
      <c r="F211" s="904"/>
      <c r="G211" s="904"/>
      <c r="H211" s="904"/>
    </row>
    <row r="212" spans="1:8" x14ac:dyDescent="0.2">
      <c r="A212" s="905" t="s">
        <v>497</v>
      </c>
      <c r="B212" s="904"/>
      <c r="C212" s="904"/>
      <c r="D212" s="904"/>
      <c r="E212" s="904"/>
      <c r="F212" s="904"/>
      <c r="G212" s="904"/>
      <c r="H212" s="904"/>
    </row>
    <row r="213" spans="1:8" ht="15.75" x14ac:dyDescent="0.2">
      <c r="A213" s="906" t="s">
        <v>338</v>
      </c>
      <c r="B213" s="904"/>
      <c r="C213" s="904"/>
      <c r="D213" s="904"/>
      <c r="E213" s="904"/>
      <c r="F213" s="904"/>
      <c r="G213" s="904"/>
      <c r="H213" s="904"/>
    </row>
    <row r="214" spans="1:8" x14ac:dyDescent="0.2">
      <c r="A214" s="904"/>
      <c r="B214" s="904"/>
      <c r="C214" s="904"/>
      <c r="D214" s="904"/>
      <c r="E214" s="904"/>
      <c r="F214" s="904"/>
      <c r="G214" s="904"/>
      <c r="H214" s="904"/>
    </row>
    <row r="215" spans="1:8" x14ac:dyDescent="0.2">
      <c r="A215" s="905" t="s">
        <v>493</v>
      </c>
      <c r="B215" s="904"/>
      <c r="C215" s="904"/>
      <c r="D215" s="904"/>
      <c r="E215" s="904"/>
      <c r="F215" s="904"/>
      <c r="G215" s="904"/>
      <c r="H215" s="904"/>
    </row>
    <row r="216" spans="1:8" x14ac:dyDescent="0.2">
      <c r="A216" s="905" t="s">
        <v>494</v>
      </c>
      <c r="B216" s="904"/>
      <c r="C216" s="904"/>
      <c r="D216" s="904"/>
      <c r="E216" s="904"/>
      <c r="F216" s="904"/>
      <c r="G216" s="904"/>
      <c r="H216" s="904"/>
    </row>
    <row r="217" spans="1:8" x14ac:dyDescent="0.2">
      <c r="A217" s="904"/>
      <c r="B217" s="904"/>
      <c r="C217" s="904"/>
      <c r="D217" s="904"/>
      <c r="E217" s="904"/>
      <c r="F217" s="904"/>
      <c r="G217" s="904"/>
      <c r="H217" s="904"/>
    </row>
    <row r="218" spans="1:8" x14ac:dyDescent="0.2">
      <c r="A218" s="905" t="s">
        <v>486</v>
      </c>
      <c r="B218" s="904"/>
      <c r="C218" s="904"/>
      <c r="D218" s="904"/>
      <c r="E218" s="904"/>
      <c r="F218" s="904"/>
      <c r="G218" s="904"/>
      <c r="H218" s="904"/>
    </row>
    <row r="219" spans="1:8" x14ac:dyDescent="0.2">
      <c r="A219" s="905" t="s">
        <v>487</v>
      </c>
      <c r="B219" s="904"/>
      <c r="C219" s="904"/>
      <c r="D219" s="904"/>
      <c r="E219" s="904"/>
      <c r="F219" s="904"/>
      <c r="G219" s="904"/>
      <c r="H219" s="904"/>
    </row>
    <row r="220" spans="1:8" x14ac:dyDescent="0.2">
      <c r="A220" s="905" t="s">
        <v>488</v>
      </c>
      <c r="B220" s="904"/>
      <c r="C220" s="904"/>
      <c r="D220" s="904"/>
      <c r="E220" s="904"/>
      <c r="F220" s="904"/>
      <c r="G220" s="904"/>
      <c r="H220" s="904"/>
    </row>
    <row r="221" spans="1:8" x14ac:dyDescent="0.2">
      <c r="A221" s="905" t="s">
        <v>489</v>
      </c>
      <c r="B221" s="904"/>
      <c r="C221" s="904"/>
      <c r="D221" s="904"/>
      <c r="E221" s="904"/>
      <c r="F221" s="904"/>
      <c r="G221" s="904"/>
      <c r="H221" s="904"/>
    </row>
    <row r="222" spans="1:8" x14ac:dyDescent="0.2">
      <c r="A222" s="905" t="s">
        <v>490</v>
      </c>
      <c r="B222" s="904"/>
      <c r="C222" s="904"/>
      <c r="D222" s="904"/>
      <c r="E222" s="904"/>
      <c r="F222" s="904"/>
      <c r="G222" s="904"/>
      <c r="H222" s="904"/>
    </row>
    <row r="223" spans="1:8" x14ac:dyDescent="0.2">
      <c r="A223" s="905" t="s">
        <v>491</v>
      </c>
      <c r="B223" s="904"/>
      <c r="C223" s="904"/>
      <c r="D223" s="904"/>
      <c r="E223" s="904"/>
      <c r="F223" s="904"/>
      <c r="G223" s="904"/>
      <c r="H223" s="904"/>
    </row>
    <row r="224" spans="1:8" x14ac:dyDescent="0.2">
      <c r="A224" s="905" t="s">
        <v>492</v>
      </c>
      <c r="B224" s="904"/>
      <c r="C224" s="904"/>
      <c r="D224" s="904"/>
      <c r="E224" s="904"/>
      <c r="F224" s="904"/>
      <c r="G224" s="904"/>
      <c r="H224" s="904"/>
    </row>
    <row r="225" spans="1:8" x14ac:dyDescent="0.2">
      <c r="A225" s="904"/>
      <c r="B225" s="904"/>
      <c r="C225" s="904"/>
      <c r="D225" s="904"/>
      <c r="E225" s="904"/>
      <c r="F225" s="904"/>
      <c r="G225" s="904"/>
      <c r="H225" s="904"/>
    </row>
    <row r="226" spans="1:8" x14ac:dyDescent="0.2">
      <c r="A226" s="905" t="s">
        <v>483</v>
      </c>
      <c r="B226" s="904"/>
      <c r="C226" s="904"/>
      <c r="D226" s="904"/>
      <c r="E226" s="904"/>
      <c r="F226" s="904"/>
      <c r="G226" s="904"/>
      <c r="H226" s="904"/>
    </row>
    <row r="227" spans="1:8" x14ac:dyDescent="0.2">
      <c r="A227" s="905" t="s">
        <v>484</v>
      </c>
      <c r="B227" s="904"/>
      <c r="C227" s="904"/>
      <c r="D227" s="904"/>
      <c r="E227" s="904"/>
      <c r="F227" s="904"/>
      <c r="G227" s="904"/>
      <c r="H227" s="904"/>
    </row>
    <row r="228" spans="1:8" x14ac:dyDescent="0.2">
      <c r="A228" s="905" t="s">
        <v>485</v>
      </c>
      <c r="B228" s="904"/>
      <c r="C228" s="904"/>
      <c r="D228" s="904"/>
      <c r="E228" s="904"/>
      <c r="F228" s="904"/>
      <c r="G228" s="904"/>
      <c r="H228" s="904"/>
    </row>
    <row r="229" spans="1:8" x14ac:dyDescent="0.2">
      <c r="A229" s="904"/>
      <c r="B229" s="904"/>
      <c r="C229" s="904"/>
      <c r="D229" s="904"/>
      <c r="E229" s="904"/>
      <c r="F229" s="904"/>
      <c r="G229" s="904"/>
      <c r="H229" s="904"/>
    </row>
    <row r="230" spans="1:8" x14ac:dyDescent="0.2">
      <c r="A230" s="905" t="s">
        <v>478</v>
      </c>
      <c r="B230" s="904"/>
      <c r="C230" s="904"/>
      <c r="D230" s="904"/>
      <c r="E230" s="904"/>
      <c r="F230" s="904"/>
      <c r="G230" s="904"/>
      <c r="H230" s="904"/>
    </row>
    <row r="231" spans="1:8" x14ac:dyDescent="0.2">
      <c r="A231" s="905" t="s">
        <v>479</v>
      </c>
      <c r="B231" s="904"/>
      <c r="C231" s="904"/>
      <c r="D231" s="904"/>
      <c r="E231" s="904"/>
      <c r="F231" s="904"/>
      <c r="G231" s="904"/>
      <c r="H231" s="904"/>
    </row>
    <row r="232" spans="1:8" x14ac:dyDescent="0.2">
      <c r="A232" s="905" t="s">
        <v>480</v>
      </c>
      <c r="B232" s="904"/>
      <c r="C232" s="904"/>
      <c r="D232" s="904"/>
      <c r="E232" s="904"/>
      <c r="F232" s="904"/>
      <c r="G232" s="904"/>
      <c r="H232" s="904"/>
    </row>
    <row r="233" spans="1:8" x14ac:dyDescent="0.2">
      <c r="A233" s="905" t="s">
        <v>481</v>
      </c>
      <c r="B233" s="904"/>
      <c r="C233" s="904"/>
      <c r="D233" s="904"/>
      <c r="E233" s="904"/>
      <c r="F233" s="904"/>
      <c r="G233" s="904"/>
      <c r="H233" s="904"/>
    </row>
    <row r="234" spans="1:8" x14ac:dyDescent="0.2">
      <c r="A234" s="905" t="s">
        <v>482</v>
      </c>
      <c r="B234" s="904"/>
      <c r="C234" s="904"/>
      <c r="D234" s="904"/>
      <c r="E234" s="904"/>
      <c r="F234" s="904"/>
      <c r="G234" s="904"/>
      <c r="H234" s="904"/>
    </row>
    <row r="235" spans="1:8" x14ac:dyDescent="0.2">
      <c r="A235" s="904"/>
      <c r="B235" s="904"/>
      <c r="C235" s="904"/>
      <c r="D235" s="904"/>
      <c r="E235" s="904"/>
      <c r="F235" s="904"/>
      <c r="G235" s="904"/>
      <c r="H235" s="904"/>
    </row>
    <row r="236" spans="1:8" x14ac:dyDescent="0.2">
      <c r="A236" s="905" t="s">
        <v>472</v>
      </c>
      <c r="B236" s="904"/>
      <c r="C236" s="904"/>
      <c r="D236" s="904"/>
      <c r="E236" s="904"/>
      <c r="F236" s="904"/>
      <c r="G236" s="904"/>
      <c r="H236" s="904"/>
    </row>
    <row r="237" spans="1:8" x14ac:dyDescent="0.2">
      <c r="A237" s="905" t="s">
        <v>473</v>
      </c>
      <c r="B237" s="904"/>
      <c r="C237" s="904"/>
      <c r="D237" s="904"/>
      <c r="E237" s="904"/>
      <c r="F237" s="904"/>
      <c r="G237" s="904"/>
      <c r="H237" s="904"/>
    </row>
    <row r="238" spans="1:8" x14ac:dyDescent="0.2">
      <c r="A238" s="905" t="s">
        <v>474</v>
      </c>
      <c r="B238" s="904"/>
      <c r="C238" s="904"/>
      <c r="D238" s="904"/>
      <c r="E238" s="904"/>
      <c r="F238" s="904"/>
      <c r="G238" s="904"/>
      <c r="H238" s="904"/>
    </row>
    <row r="239" spans="1:8" x14ac:dyDescent="0.2">
      <c r="A239" s="905" t="s">
        <v>475</v>
      </c>
      <c r="B239" s="904"/>
      <c r="C239" s="904"/>
      <c r="D239" s="904"/>
      <c r="E239" s="904"/>
      <c r="F239" s="904"/>
      <c r="G239" s="904"/>
      <c r="H239" s="904"/>
    </row>
    <row r="240" spans="1:8" x14ac:dyDescent="0.2">
      <c r="A240" s="905" t="s">
        <v>476</v>
      </c>
      <c r="B240" s="904"/>
      <c r="C240" s="904"/>
      <c r="D240" s="904"/>
      <c r="E240" s="904"/>
      <c r="F240" s="904"/>
      <c r="G240" s="904"/>
      <c r="H240" s="904"/>
    </row>
    <row r="241" spans="1:8" x14ac:dyDescent="0.2">
      <c r="A241" s="905" t="s">
        <v>477</v>
      </c>
      <c r="B241" s="904"/>
      <c r="C241" s="904"/>
      <c r="D241" s="904"/>
      <c r="E241" s="904"/>
      <c r="F241" s="904"/>
      <c r="G241" s="904"/>
      <c r="H241" s="904"/>
    </row>
    <row r="242" spans="1:8" x14ac:dyDescent="0.2">
      <c r="A242" s="904"/>
      <c r="B242" s="904"/>
      <c r="C242" s="904"/>
      <c r="D242" s="904"/>
      <c r="E242" s="904"/>
      <c r="F242" s="904"/>
      <c r="G242" s="904"/>
      <c r="H242" s="904"/>
    </row>
    <row r="243" spans="1:8" x14ac:dyDescent="0.2">
      <c r="A243" s="905" t="s">
        <v>462</v>
      </c>
      <c r="B243" s="904"/>
      <c r="C243" s="904"/>
      <c r="D243" s="904"/>
      <c r="E243" s="904"/>
      <c r="F243" s="904"/>
      <c r="G243" s="904"/>
      <c r="H243" s="904"/>
    </row>
    <row r="244" spans="1:8" x14ac:dyDescent="0.2">
      <c r="A244" s="905" t="s">
        <v>463</v>
      </c>
      <c r="B244" s="904"/>
      <c r="C244" s="904"/>
      <c r="D244" s="904"/>
      <c r="E244" s="904"/>
      <c r="F244" s="904"/>
      <c r="G244" s="904"/>
      <c r="H244" s="904"/>
    </row>
    <row r="245" spans="1:8" x14ac:dyDescent="0.2">
      <c r="A245" s="905" t="s">
        <v>464</v>
      </c>
      <c r="B245" s="904"/>
      <c r="C245" s="904"/>
      <c r="D245" s="904"/>
      <c r="E245" s="904"/>
      <c r="F245" s="904"/>
      <c r="G245" s="904"/>
      <c r="H245" s="904"/>
    </row>
    <row r="246" spans="1:8" x14ac:dyDescent="0.2">
      <c r="A246" s="905" t="s">
        <v>465</v>
      </c>
      <c r="B246" s="904"/>
      <c r="C246" s="904"/>
      <c r="D246" s="904"/>
      <c r="E246" s="904"/>
      <c r="F246" s="904"/>
      <c r="G246" s="904"/>
      <c r="H246" s="904"/>
    </row>
    <row r="247" spans="1:8" x14ac:dyDescent="0.2">
      <c r="A247" s="905" t="s">
        <v>466</v>
      </c>
      <c r="B247" s="904"/>
      <c r="C247" s="904"/>
      <c r="D247" s="904"/>
      <c r="E247" s="904"/>
      <c r="F247" s="904"/>
      <c r="G247" s="904"/>
      <c r="H247" s="904"/>
    </row>
    <row r="248" spans="1:8" x14ac:dyDescent="0.2">
      <c r="A248" s="905" t="s">
        <v>467</v>
      </c>
      <c r="B248" s="904"/>
      <c r="C248" s="904"/>
      <c r="D248" s="904"/>
      <c r="E248" s="904"/>
      <c r="F248" s="904"/>
      <c r="G248" s="904"/>
      <c r="H248" s="904"/>
    </row>
    <row r="249" spans="1:8" x14ac:dyDescent="0.2">
      <c r="A249" s="905" t="s">
        <v>468</v>
      </c>
      <c r="B249" s="904"/>
      <c r="C249" s="904"/>
      <c r="D249" s="904"/>
      <c r="E249" s="904"/>
      <c r="F249" s="904"/>
      <c r="G249" s="904"/>
      <c r="H249" s="904"/>
    </row>
    <row r="250" spans="1:8" x14ac:dyDescent="0.2">
      <c r="A250" s="905" t="s">
        <v>469</v>
      </c>
      <c r="B250" s="904"/>
      <c r="C250" s="904"/>
      <c r="D250" s="904"/>
      <c r="E250" s="904"/>
      <c r="F250" s="904"/>
      <c r="G250" s="904"/>
      <c r="H250" s="904"/>
    </row>
    <row r="251" spans="1:8" x14ac:dyDescent="0.2">
      <c r="A251" s="905" t="s">
        <v>470</v>
      </c>
      <c r="B251" s="904"/>
      <c r="C251" s="904"/>
      <c r="D251" s="904"/>
      <c r="E251" s="904"/>
      <c r="F251" s="904"/>
      <c r="G251" s="904"/>
      <c r="H251" s="904"/>
    </row>
    <row r="252" spans="1:8" x14ac:dyDescent="0.2">
      <c r="A252" s="905" t="s">
        <v>471</v>
      </c>
      <c r="B252" s="904"/>
      <c r="C252" s="904"/>
      <c r="D252" s="904"/>
      <c r="E252" s="904"/>
      <c r="F252" s="904"/>
      <c r="G252" s="904"/>
      <c r="H252" s="904"/>
    </row>
    <row r="253" spans="1:8" x14ac:dyDescent="0.2">
      <c r="A253" s="904"/>
      <c r="B253" s="904"/>
      <c r="C253" s="904"/>
      <c r="D253" s="904"/>
      <c r="E253" s="904"/>
      <c r="F253" s="904"/>
      <c r="G253" s="904"/>
      <c r="H253" s="904"/>
    </row>
    <row r="254" spans="1:8" x14ac:dyDescent="0.2">
      <c r="A254" s="905" t="s">
        <v>460</v>
      </c>
      <c r="B254" s="904"/>
      <c r="C254" s="904"/>
      <c r="D254" s="904"/>
      <c r="E254" s="904"/>
      <c r="F254" s="904"/>
      <c r="G254" s="904"/>
      <c r="H254" s="904"/>
    </row>
    <row r="255" spans="1:8" x14ac:dyDescent="0.2">
      <c r="A255" s="905" t="s">
        <v>461</v>
      </c>
      <c r="B255" s="904"/>
      <c r="C255" s="904"/>
      <c r="D255" s="904"/>
      <c r="E255" s="904"/>
      <c r="F255" s="904"/>
      <c r="G255" s="904"/>
      <c r="H255" s="904"/>
    </row>
    <row r="256" spans="1:8" x14ac:dyDescent="0.2">
      <c r="A256" s="904"/>
      <c r="B256" s="904"/>
      <c r="C256" s="904"/>
      <c r="D256" s="904"/>
      <c r="E256" s="904"/>
      <c r="F256" s="904"/>
      <c r="G256" s="904"/>
      <c r="H256" s="904"/>
    </row>
    <row r="257" spans="1:8" x14ac:dyDescent="0.2">
      <c r="A257" s="905" t="s">
        <v>444</v>
      </c>
      <c r="B257" s="904"/>
      <c r="C257" s="904"/>
      <c r="D257" s="904"/>
      <c r="E257" s="904"/>
      <c r="F257" s="904"/>
      <c r="G257" s="904"/>
      <c r="H257" s="904"/>
    </row>
    <row r="258" spans="1:8" x14ac:dyDescent="0.2">
      <c r="A258" s="905" t="s">
        <v>445</v>
      </c>
      <c r="B258" s="904"/>
      <c r="C258" s="904"/>
      <c r="D258" s="904"/>
      <c r="E258" s="904"/>
      <c r="F258" s="904"/>
      <c r="G258" s="904"/>
      <c r="H258" s="904"/>
    </row>
    <row r="259" spans="1:8" x14ac:dyDescent="0.2">
      <c r="A259" s="905" t="s">
        <v>446</v>
      </c>
      <c r="B259" s="904"/>
      <c r="C259" s="904"/>
      <c r="D259" s="904"/>
      <c r="E259" s="904"/>
      <c r="F259" s="904"/>
      <c r="G259" s="904"/>
      <c r="H259" s="904"/>
    </row>
    <row r="260" spans="1:8" x14ac:dyDescent="0.2">
      <c r="A260" s="905" t="s">
        <v>447</v>
      </c>
      <c r="B260" s="904"/>
      <c r="C260" s="904"/>
      <c r="D260" s="904"/>
      <c r="E260" s="904"/>
      <c r="F260" s="904"/>
      <c r="G260" s="904"/>
      <c r="H260" s="904"/>
    </row>
    <row r="261" spans="1:8" x14ac:dyDescent="0.2">
      <c r="A261" s="905" t="s">
        <v>448</v>
      </c>
      <c r="B261" s="904"/>
      <c r="C261" s="904"/>
      <c r="D261" s="904"/>
      <c r="E261" s="904"/>
      <c r="F261" s="904"/>
      <c r="G261" s="904"/>
      <c r="H261" s="904"/>
    </row>
    <row r="262" spans="1:8" x14ac:dyDescent="0.2">
      <c r="A262" s="905" t="s">
        <v>449</v>
      </c>
      <c r="B262" s="904"/>
      <c r="C262" s="904"/>
      <c r="D262" s="904"/>
      <c r="E262" s="904"/>
      <c r="F262" s="904"/>
      <c r="G262" s="904"/>
      <c r="H262" s="904"/>
    </row>
    <row r="263" spans="1:8" x14ac:dyDescent="0.2">
      <c r="A263" s="905" t="s">
        <v>450</v>
      </c>
      <c r="B263" s="904"/>
      <c r="C263" s="904"/>
      <c r="D263" s="904"/>
      <c r="E263" s="904"/>
      <c r="F263" s="904"/>
      <c r="G263" s="904"/>
      <c r="H263" s="904"/>
    </row>
    <row r="264" spans="1:8" x14ac:dyDescent="0.2">
      <c r="A264" s="905" t="s">
        <v>451</v>
      </c>
      <c r="B264" s="904"/>
      <c r="C264" s="904"/>
      <c r="D264" s="904"/>
      <c r="E264" s="904"/>
      <c r="F264" s="904"/>
      <c r="G264" s="904"/>
      <c r="H264" s="904"/>
    </row>
    <row r="265" spans="1:8" x14ac:dyDescent="0.2">
      <c r="A265" s="905" t="s">
        <v>452</v>
      </c>
      <c r="B265" s="904"/>
      <c r="C265" s="904"/>
      <c r="D265" s="904"/>
      <c r="E265" s="904"/>
      <c r="F265" s="904"/>
      <c r="G265" s="904"/>
      <c r="H265" s="904"/>
    </row>
    <row r="266" spans="1:8" x14ac:dyDescent="0.2">
      <c r="A266" s="905" t="s">
        <v>453</v>
      </c>
      <c r="B266" s="904"/>
      <c r="C266" s="904"/>
      <c r="D266" s="904"/>
      <c r="E266" s="904"/>
      <c r="F266" s="904"/>
      <c r="G266" s="904"/>
      <c r="H266" s="904"/>
    </row>
    <row r="267" spans="1:8" x14ac:dyDescent="0.2">
      <c r="A267" s="905" t="s">
        <v>454</v>
      </c>
      <c r="B267" s="904"/>
      <c r="C267" s="904"/>
      <c r="D267" s="904"/>
      <c r="E267" s="904"/>
      <c r="F267" s="904"/>
      <c r="G267" s="904"/>
      <c r="H267" s="904"/>
    </row>
    <row r="268" spans="1:8" x14ac:dyDescent="0.2">
      <c r="A268" s="905" t="s">
        <v>455</v>
      </c>
      <c r="B268" s="904"/>
      <c r="C268" s="904"/>
      <c r="D268" s="904"/>
      <c r="E268" s="904"/>
      <c r="F268" s="904"/>
      <c r="G268" s="904"/>
      <c r="H268" s="904"/>
    </row>
    <row r="269" spans="1:8" x14ac:dyDescent="0.2">
      <c r="A269" s="905" t="s">
        <v>456</v>
      </c>
      <c r="B269" s="904"/>
      <c r="C269" s="904"/>
      <c r="D269" s="904"/>
      <c r="E269" s="904"/>
      <c r="F269" s="904"/>
      <c r="G269" s="904"/>
      <c r="H269" s="904"/>
    </row>
    <row r="270" spans="1:8" x14ac:dyDescent="0.2">
      <c r="A270" s="905" t="s">
        <v>457</v>
      </c>
      <c r="B270" s="904"/>
      <c r="C270" s="904"/>
      <c r="D270" s="904"/>
      <c r="E270" s="904"/>
      <c r="F270" s="904"/>
      <c r="G270" s="904"/>
      <c r="H270" s="904"/>
    </row>
    <row r="271" spans="1:8" x14ac:dyDescent="0.2">
      <c r="A271" s="905" t="s">
        <v>458</v>
      </c>
      <c r="B271" s="904"/>
      <c r="C271" s="904"/>
      <c r="D271" s="904"/>
      <c r="E271" s="904"/>
      <c r="F271" s="904"/>
      <c r="G271" s="904"/>
      <c r="H271" s="904"/>
    </row>
    <row r="272" spans="1:8" x14ac:dyDescent="0.2">
      <c r="A272" s="905" t="s">
        <v>459</v>
      </c>
      <c r="B272" s="904"/>
      <c r="C272" s="904"/>
      <c r="D272" s="904"/>
      <c r="E272" s="904"/>
      <c r="F272" s="904"/>
      <c r="G272" s="904"/>
      <c r="H272" s="904"/>
    </row>
    <row r="273" spans="1:8" x14ac:dyDescent="0.2">
      <c r="A273" s="904"/>
      <c r="B273" s="904"/>
      <c r="C273" s="904"/>
      <c r="D273" s="904"/>
      <c r="E273" s="904"/>
      <c r="F273" s="904"/>
      <c r="G273" s="904"/>
      <c r="H273" s="904"/>
    </row>
    <row r="274" spans="1:8" x14ac:dyDescent="0.2">
      <c r="A274" s="905" t="s">
        <v>437</v>
      </c>
      <c r="B274" s="904"/>
      <c r="C274" s="904"/>
      <c r="D274" s="904"/>
      <c r="E274" s="904"/>
      <c r="F274" s="904"/>
      <c r="G274" s="904"/>
      <c r="H274" s="904"/>
    </row>
    <row r="275" spans="1:8" x14ac:dyDescent="0.2">
      <c r="A275" s="905" t="s">
        <v>438</v>
      </c>
      <c r="B275" s="904"/>
      <c r="C275" s="904"/>
      <c r="D275" s="904"/>
      <c r="E275" s="904"/>
      <c r="F275" s="904"/>
      <c r="G275" s="904"/>
      <c r="H275" s="904"/>
    </row>
    <row r="276" spans="1:8" x14ac:dyDescent="0.2">
      <c r="A276" s="905" t="s">
        <v>439</v>
      </c>
      <c r="B276" s="904"/>
      <c r="C276" s="904"/>
      <c r="D276" s="904"/>
      <c r="E276" s="904"/>
      <c r="F276" s="904"/>
      <c r="G276" s="904"/>
      <c r="H276" s="904"/>
    </row>
    <row r="277" spans="1:8" x14ac:dyDescent="0.2">
      <c r="A277" s="905" t="s">
        <v>440</v>
      </c>
      <c r="B277" s="904"/>
      <c r="C277" s="904"/>
      <c r="D277" s="904"/>
      <c r="E277" s="904"/>
      <c r="F277" s="904"/>
      <c r="G277" s="904"/>
      <c r="H277" s="904"/>
    </row>
    <row r="278" spans="1:8" x14ac:dyDescent="0.2">
      <c r="A278" s="905" t="s">
        <v>441</v>
      </c>
      <c r="B278" s="904"/>
      <c r="C278" s="904"/>
      <c r="D278" s="904"/>
      <c r="E278" s="904"/>
      <c r="F278" s="904"/>
      <c r="G278" s="904"/>
      <c r="H278" s="904"/>
    </row>
    <row r="279" spans="1:8" x14ac:dyDescent="0.2">
      <c r="A279" s="905" t="s">
        <v>442</v>
      </c>
      <c r="B279" s="904"/>
      <c r="C279" s="904"/>
      <c r="D279" s="904"/>
      <c r="E279" s="904"/>
      <c r="F279" s="904"/>
      <c r="G279" s="904"/>
      <c r="H279" s="904"/>
    </row>
    <row r="280" spans="1:8" x14ac:dyDescent="0.2">
      <c r="A280" s="905" t="s">
        <v>443</v>
      </c>
      <c r="B280" s="904"/>
      <c r="C280" s="904"/>
      <c r="D280" s="904"/>
      <c r="E280" s="904"/>
      <c r="F280" s="904"/>
      <c r="G280" s="904"/>
      <c r="H280" s="904"/>
    </row>
    <row r="281" spans="1:8" x14ac:dyDescent="0.2">
      <c r="A281" s="904"/>
      <c r="B281" s="904"/>
      <c r="C281" s="904"/>
      <c r="D281" s="904"/>
      <c r="E281" s="904"/>
      <c r="F281" s="904"/>
      <c r="G281" s="904"/>
      <c r="H281" s="904"/>
    </row>
    <row r="282" spans="1:8" x14ac:dyDescent="0.2">
      <c r="A282" s="905" t="s">
        <v>428</v>
      </c>
      <c r="B282" s="904"/>
      <c r="C282" s="904"/>
      <c r="D282" s="904"/>
      <c r="E282" s="904"/>
      <c r="F282" s="904"/>
      <c r="G282" s="904"/>
      <c r="H282" s="904"/>
    </row>
    <row r="283" spans="1:8" x14ac:dyDescent="0.2">
      <c r="A283" s="905" t="s">
        <v>429</v>
      </c>
      <c r="B283" s="904"/>
      <c r="C283" s="904"/>
      <c r="D283" s="904"/>
      <c r="E283" s="904"/>
      <c r="F283" s="904"/>
      <c r="G283" s="904"/>
      <c r="H283" s="904"/>
    </row>
    <row r="284" spans="1:8" x14ac:dyDescent="0.2">
      <c r="A284" s="905" t="s">
        <v>430</v>
      </c>
      <c r="B284" s="904"/>
      <c r="C284" s="904"/>
      <c r="D284" s="904"/>
      <c r="E284" s="904"/>
      <c r="F284" s="904"/>
      <c r="G284" s="904"/>
      <c r="H284" s="904"/>
    </row>
    <row r="285" spans="1:8" x14ac:dyDescent="0.2">
      <c r="A285" s="905" t="s">
        <v>431</v>
      </c>
      <c r="B285" s="904"/>
      <c r="C285" s="904"/>
      <c r="D285" s="904"/>
      <c r="E285" s="904"/>
      <c r="F285" s="904"/>
      <c r="G285" s="904"/>
      <c r="H285" s="904"/>
    </row>
    <row r="286" spans="1:8" x14ac:dyDescent="0.2">
      <c r="A286" s="905" t="s">
        <v>432</v>
      </c>
      <c r="B286" s="904"/>
      <c r="C286" s="904"/>
      <c r="D286" s="904"/>
      <c r="E286" s="904"/>
      <c r="F286" s="904"/>
      <c r="G286" s="904"/>
      <c r="H286" s="904"/>
    </row>
    <row r="287" spans="1:8" x14ac:dyDescent="0.2">
      <c r="A287" s="905" t="s">
        <v>433</v>
      </c>
      <c r="B287" s="904"/>
      <c r="C287" s="904"/>
      <c r="D287" s="904"/>
      <c r="E287" s="904"/>
      <c r="F287" s="904"/>
      <c r="G287" s="904"/>
      <c r="H287" s="904"/>
    </row>
    <row r="288" spans="1:8" x14ac:dyDescent="0.2">
      <c r="A288" s="905" t="s">
        <v>434</v>
      </c>
      <c r="B288" s="904"/>
      <c r="C288" s="904"/>
      <c r="D288" s="904"/>
      <c r="E288" s="904"/>
      <c r="F288" s="904"/>
      <c r="G288" s="904"/>
      <c r="H288" s="904"/>
    </row>
    <row r="289" spans="1:8" x14ac:dyDescent="0.2">
      <c r="A289" s="905" t="s">
        <v>435</v>
      </c>
      <c r="B289" s="904"/>
      <c r="C289" s="904"/>
      <c r="D289" s="904"/>
      <c r="E289" s="904"/>
      <c r="F289" s="904"/>
      <c r="G289" s="904"/>
      <c r="H289" s="904"/>
    </row>
    <row r="290" spans="1:8" x14ac:dyDescent="0.2">
      <c r="A290" s="905" t="s">
        <v>436</v>
      </c>
      <c r="B290" s="904"/>
      <c r="C290" s="904"/>
      <c r="D290" s="904"/>
      <c r="E290" s="904"/>
      <c r="F290" s="904"/>
      <c r="G290" s="904"/>
      <c r="H290" s="904"/>
    </row>
    <row r="291" spans="1:8" x14ac:dyDescent="0.2">
      <c r="A291" s="904"/>
      <c r="B291" s="904"/>
      <c r="C291" s="904"/>
      <c r="D291" s="904"/>
      <c r="E291" s="904"/>
      <c r="F291" s="904"/>
      <c r="G291" s="904"/>
      <c r="H291" s="904"/>
    </row>
    <row r="292" spans="1:8" x14ac:dyDescent="0.2">
      <c r="A292" s="905" t="s">
        <v>421</v>
      </c>
      <c r="B292" s="904"/>
      <c r="C292" s="904"/>
      <c r="D292" s="904"/>
      <c r="E292" s="904"/>
      <c r="F292" s="904"/>
      <c r="G292" s="904"/>
      <c r="H292" s="904"/>
    </row>
    <row r="293" spans="1:8" x14ac:dyDescent="0.2">
      <c r="A293" s="905" t="s">
        <v>422</v>
      </c>
      <c r="B293" s="904"/>
      <c r="C293" s="904"/>
      <c r="D293" s="904"/>
      <c r="E293" s="904"/>
      <c r="F293" s="904"/>
      <c r="G293" s="904"/>
      <c r="H293" s="904"/>
    </row>
    <row r="294" spans="1:8" x14ac:dyDescent="0.2">
      <c r="A294" s="905" t="s">
        <v>423</v>
      </c>
      <c r="B294" s="904"/>
      <c r="C294" s="904"/>
      <c r="D294" s="904"/>
      <c r="E294" s="904"/>
      <c r="F294" s="904"/>
      <c r="G294" s="904"/>
      <c r="H294" s="904"/>
    </row>
    <row r="295" spans="1:8" x14ac:dyDescent="0.2">
      <c r="A295" s="905" t="s">
        <v>424</v>
      </c>
      <c r="B295" s="904"/>
      <c r="C295" s="904"/>
      <c r="D295" s="904"/>
      <c r="E295" s="904"/>
      <c r="F295" s="904"/>
      <c r="G295" s="904"/>
      <c r="H295" s="904"/>
    </row>
    <row r="296" spans="1:8" x14ac:dyDescent="0.2">
      <c r="A296" s="905" t="s">
        <v>425</v>
      </c>
      <c r="B296" s="904"/>
      <c r="C296" s="904"/>
      <c r="D296" s="904"/>
      <c r="E296" s="904"/>
      <c r="F296" s="904"/>
      <c r="G296" s="904"/>
      <c r="H296" s="904"/>
    </row>
    <row r="297" spans="1:8" x14ac:dyDescent="0.2">
      <c r="A297" s="905" t="s">
        <v>426</v>
      </c>
      <c r="B297" s="904"/>
      <c r="C297" s="904"/>
      <c r="D297" s="904"/>
      <c r="E297" s="904"/>
      <c r="F297" s="904"/>
      <c r="G297" s="904"/>
      <c r="H297" s="904"/>
    </row>
    <row r="298" spans="1:8" x14ac:dyDescent="0.2">
      <c r="A298" s="905" t="s">
        <v>427</v>
      </c>
      <c r="B298" s="904"/>
      <c r="C298" s="904"/>
      <c r="D298" s="904"/>
      <c r="E298" s="904"/>
      <c r="F298" s="904"/>
      <c r="G298" s="904"/>
      <c r="H298" s="904"/>
    </row>
    <row r="299" spans="1:8" x14ac:dyDescent="0.2">
      <c r="A299" s="904"/>
      <c r="B299" s="904"/>
      <c r="C299" s="904"/>
      <c r="D299" s="904"/>
      <c r="E299" s="904"/>
      <c r="F299" s="904"/>
      <c r="G299" s="904"/>
      <c r="H299" s="904"/>
    </row>
    <row r="300" spans="1:8" x14ac:dyDescent="0.2">
      <c r="A300" s="905" t="s">
        <v>418</v>
      </c>
      <c r="B300" s="904"/>
      <c r="C300" s="904"/>
      <c r="D300" s="904"/>
      <c r="E300" s="904"/>
      <c r="F300" s="904"/>
      <c r="G300" s="904"/>
      <c r="H300" s="904"/>
    </row>
    <row r="301" spans="1:8" x14ac:dyDescent="0.2">
      <c r="A301" s="905" t="s">
        <v>419</v>
      </c>
      <c r="B301" s="904"/>
      <c r="C301" s="904"/>
      <c r="D301" s="904"/>
      <c r="E301" s="904"/>
      <c r="F301" s="904"/>
      <c r="G301" s="904"/>
      <c r="H301" s="904"/>
    </row>
    <row r="302" spans="1:8" x14ac:dyDescent="0.2">
      <c r="A302" s="905" t="s">
        <v>420</v>
      </c>
      <c r="B302" s="904"/>
      <c r="C302" s="904"/>
      <c r="D302" s="904"/>
      <c r="E302" s="904"/>
      <c r="F302" s="904"/>
      <c r="G302" s="904"/>
      <c r="H302" s="904"/>
    </row>
    <row r="303" spans="1:8" x14ac:dyDescent="0.2">
      <c r="A303" s="904"/>
      <c r="B303" s="904"/>
      <c r="C303" s="904"/>
      <c r="D303" s="904"/>
      <c r="E303" s="904"/>
      <c r="F303" s="904"/>
      <c r="G303" s="904"/>
      <c r="H303" s="904"/>
    </row>
    <row r="304" spans="1:8" x14ac:dyDescent="0.2">
      <c r="A304" s="905" t="s">
        <v>416</v>
      </c>
      <c r="B304" s="904"/>
      <c r="C304" s="904"/>
      <c r="D304" s="904"/>
      <c r="E304" s="904"/>
      <c r="F304" s="904"/>
      <c r="G304" s="904"/>
      <c r="H304" s="904"/>
    </row>
    <row r="305" spans="1:8" x14ac:dyDescent="0.2">
      <c r="A305" s="905" t="s">
        <v>417</v>
      </c>
      <c r="B305" s="904"/>
      <c r="C305" s="904"/>
      <c r="D305" s="904"/>
      <c r="E305" s="904"/>
      <c r="F305" s="904"/>
      <c r="G305" s="904"/>
      <c r="H305" s="904"/>
    </row>
    <row r="306" spans="1:8" x14ac:dyDescent="0.2">
      <c r="A306" s="904"/>
      <c r="B306" s="904"/>
      <c r="C306" s="904"/>
      <c r="D306" s="904"/>
      <c r="E306" s="904"/>
      <c r="F306" s="904"/>
      <c r="G306" s="904"/>
      <c r="H306" s="904"/>
    </row>
    <row r="307" spans="1:8" x14ac:dyDescent="0.2">
      <c r="A307" s="905" t="s">
        <v>403</v>
      </c>
      <c r="B307" s="904"/>
      <c r="C307" s="904"/>
      <c r="D307" s="904"/>
      <c r="E307" s="904"/>
      <c r="F307" s="904"/>
      <c r="G307" s="904"/>
      <c r="H307" s="904"/>
    </row>
    <row r="308" spans="1:8" x14ac:dyDescent="0.2">
      <c r="A308" s="905" t="s">
        <v>404</v>
      </c>
      <c r="B308" s="904"/>
      <c r="C308" s="904"/>
      <c r="D308" s="904"/>
      <c r="E308" s="904"/>
      <c r="F308" s="904"/>
      <c r="G308" s="904"/>
      <c r="H308" s="904"/>
    </row>
    <row r="309" spans="1:8" x14ac:dyDescent="0.2">
      <c r="A309" s="905" t="s">
        <v>405</v>
      </c>
      <c r="B309" s="904"/>
      <c r="C309" s="904"/>
      <c r="D309" s="904"/>
      <c r="E309" s="904"/>
      <c r="F309" s="904"/>
      <c r="G309" s="904"/>
      <c r="H309" s="904"/>
    </row>
    <row r="310" spans="1:8" x14ac:dyDescent="0.2">
      <c r="A310" s="905" t="s">
        <v>406</v>
      </c>
      <c r="B310" s="904"/>
      <c r="C310" s="904"/>
      <c r="D310" s="904"/>
      <c r="E310" s="904"/>
      <c r="F310" s="904"/>
      <c r="G310" s="904"/>
      <c r="H310" s="904"/>
    </row>
    <row r="311" spans="1:8" x14ac:dyDescent="0.2">
      <c r="A311" s="905" t="s">
        <v>407</v>
      </c>
      <c r="B311" s="904"/>
      <c r="C311" s="904"/>
      <c r="D311" s="904"/>
      <c r="E311" s="904"/>
      <c r="F311" s="904"/>
      <c r="G311" s="904"/>
      <c r="H311" s="904"/>
    </row>
    <row r="312" spans="1:8" x14ac:dyDescent="0.2">
      <c r="A312" s="905" t="s">
        <v>408</v>
      </c>
      <c r="B312" s="904"/>
      <c r="C312" s="904"/>
      <c r="D312" s="904"/>
      <c r="E312" s="904"/>
      <c r="F312" s="904"/>
      <c r="G312" s="904"/>
      <c r="H312" s="904"/>
    </row>
    <row r="313" spans="1:8" x14ac:dyDescent="0.2">
      <c r="A313" s="905" t="s">
        <v>409</v>
      </c>
      <c r="B313" s="904"/>
      <c r="C313" s="904"/>
      <c r="D313" s="904"/>
      <c r="E313" s="904"/>
      <c r="F313" s="904"/>
      <c r="G313" s="904"/>
      <c r="H313" s="904"/>
    </row>
    <row r="314" spans="1:8" x14ac:dyDescent="0.2">
      <c r="A314" s="905" t="s">
        <v>410</v>
      </c>
      <c r="B314" s="904"/>
      <c r="C314" s="904"/>
      <c r="D314" s="904"/>
      <c r="E314" s="904"/>
      <c r="F314" s="904"/>
      <c r="G314" s="904"/>
      <c r="H314" s="904"/>
    </row>
    <row r="315" spans="1:8" x14ac:dyDescent="0.2">
      <c r="A315" s="905" t="s">
        <v>411</v>
      </c>
      <c r="B315" s="904"/>
      <c r="C315" s="904"/>
      <c r="D315" s="904"/>
      <c r="E315" s="904"/>
      <c r="F315" s="904"/>
      <c r="G315" s="904"/>
      <c r="H315" s="904"/>
    </row>
    <row r="316" spans="1:8" x14ac:dyDescent="0.2">
      <c r="A316" s="905" t="s">
        <v>412</v>
      </c>
      <c r="B316" s="904"/>
      <c r="C316" s="904"/>
      <c r="D316" s="904"/>
      <c r="E316" s="904"/>
      <c r="F316" s="904"/>
      <c r="G316" s="904"/>
      <c r="H316" s="904"/>
    </row>
    <row r="317" spans="1:8" x14ac:dyDescent="0.2">
      <c r="A317" s="905" t="s">
        <v>413</v>
      </c>
      <c r="B317" s="904"/>
      <c r="C317" s="904"/>
      <c r="D317" s="904"/>
      <c r="E317" s="904"/>
      <c r="F317" s="904"/>
      <c r="G317" s="904"/>
      <c r="H317" s="904"/>
    </row>
    <row r="318" spans="1:8" x14ac:dyDescent="0.2">
      <c r="A318" s="905" t="s">
        <v>414</v>
      </c>
      <c r="B318" s="904"/>
      <c r="C318" s="904"/>
      <c r="D318" s="904"/>
      <c r="E318" s="904"/>
      <c r="F318" s="904"/>
      <c r="G318" s="904"/>
      <c r="H318" s="904"/>
    </row>
    <row r="319" spans="1:8" x14ac:dyDescent="0.2">
      <c r="A319" s="905" t="s">
        <v>415</v>
      </c>
      <c r="B319" s="904"/>
      <c r="C319" s="904"/>
      <c r="D319" s="904"/>
      <c r="E319" s="904"/>
      <c r="F319" s="904"/>
      <c r="G319" s="904"/>
      <c r="H319" s="904"/>
    </row>
    <row r="320" spans="1:8" x14ac:dyDescent="0.2">
      <c r="A320" s="904"/>
      <c r="B320" s="904"/>
      <c r="C320" s="904"/>
      <c r="D320" s="904"/>
      <c r="E320" s="904"/>
      <c r="F320" s="904"/>
      <c r="G320" s="904"/>
      <c r="H320" s="904"/>
    </row>
    <row r="321" spans="1:8" x14ac:dyDescent="0.2">
      <c r="A321" s="905" t="s">
        <v>395</v>
      </c>
      <c r="B321" s="904"/>
      <c r="C321" s="904"/>
      <c r="D321" s="904"/>
      <c r="E321" s="904"/>
      <c r="F321" s="904"/>
      <c r="G321" s="904"/>
      <c r="H321" s="904"/>
    </row>
    <row r="322" spans="1:8" x14ac:dyDescent="0.2">
      <c r="A322" s="905" t="s">
        <v>396</v>
      </c>
      <c r="B322" s="904"/>
      <c r="C322" s="904"/>
      <c r="D322" s="904"/>
      <c r="E322" s="904"/>
      <c r="F322" s="904"/>
      <c r="G322" s="904"/>
      <c r="H322" s="904"/>
    </row>
    <row r="323" spans="1:8" x14ac:dyDescent="0.2">
      <c r="A323" s="905" t="s">
        <v>397</v>
      </c>
      <c r="B323" s="904"/>
      <c r="C323" s="904"/>
      <c r="D323" s="904"/>
      <c r="E323" s="904"/>
      <c r="F323" s="904"/>
      <c r="G323" s="904"/>
      <c r="H323" s="904"/>
    </row>
    <row r="324" spans="1:8" x14ac:dyDescent="0.2">
      <c r="A324" s="905" t="s">
        <v>398</v>
      </c>
      <c r="B324" s="904"/>
      <c r="C324" s="904"/>
      <c r="D324" s="904"/>
      <c r="E324" s="904"/>
      <c r="F324" s="904"/>
      <c r="G324" s="904"/>
      <c r="H324" s="904"/>
    </row>
    <row r="325" spans="1:8" x14ac:dyDescent="0.2">
      <c r="A325" s="905" t="s">
        <v>399</v>
      </c>
      <c r="B325" s="904"/>
      <c r="C325" s="904"/>
      <c r="D325" s="904"/>
      <c r="E325" s="904"/>
      <c r="F325" s="904"/>
      <c r="G325" s="904"/>
      <c r="H325" s="904"/>
    </row>
    <row r="326" spans="1:8" x14ac:dyDescent="0.2">
      <c r="A326" s="905" t="s">
        <v>400</v>
      </c>
      <c r="B326" s="904"/>
      <c r="C326" s="904"/>
      <c r="D326" s="904"/>
      <c r="E326" s="904"/>
      <c r="F326" s="904"/>
      <c r="G326" s="904"/>
      <c r="H326" s="904"/>
    </row>
    <row r="327" spans="1:8" x14ac:dyDescent="0.2">
      <c r="A327" s="905" t="s">
        <v>401</v>
      </c>
      <c r="B327" s="904"/>
      <c r="C327" s="904"/>
      <c r="D327" s="904"/>
      <c r="E327" s="904"/>
      <c r="F327" s="904"/>
      <c r="G327" s="904"/>
      <c r="H327" s="904"/>
    </row>
    <row r="328" spans="1:8" x14ac:dyDescent="0.2">
      <c r="A328" s="905" t="s">
        <v>402</v>
      </c>
      <c r="B328" s="904"/>
      <c r="C328" s="904"/>
      <c r="D328" s="904"/>
      <c r="E328" s="904"/>
      <c r="F328" s="904"/>
      <c r="G328" s="904"/>
      <c r="H328" s="904"/>
    </row>
    <row r="329" spans="1:8" x14ac:dyDescent="0.2">
      <c r="A329" s="904"/>
      <c r="B329" s="904"/>
      <c r="C329" s="904"/>
      <c r="D329" s="904"/>
      <c r="E329" s="904"/>
      <c r="F329" s="904"/>
      <c r="G329" s="904"/>
      <c r="H329" s="904"/>
    </row>
    <row r="330" spans="1:8" x14ac:dyDescent="0.2">
      <c r="A330" s="905" t="s">
        <v>360</v>
      </c>
      <c r="B330" s="904"/>
      <c r="C330" s="904"/>
      <c r="D330" s="904"/>
      <c r="E330" s="904"/>
      <c r="F330" s="904"/>
      <c r="G330" s="904"/>
      <c r="H330" s="904"/>
    </row>
    <row r="331" spans="1:8" x14ac:dyDescent="0.2">
      <c r="A331" s="905" t="s">
        <v>361</v>
      </c>
      <c r="B331" s="904"/>
      <c r="C331" s="904"/>
      <c r="D331" s="904"/>
      <c r="E331" s="904"/>
      <c r="F331" s="904"/>
      <c r="G331" s="904"/>
      <c r="H331" s="904"/>
    </row>
    <row r="332" spans="1:8" x14ac:dyDescent="0.2">
      <c r="A332" s="905" t="s">
        <v>362</v>
      </c>
      <c r="B332" s="904"/>
      <c r="C332" s="904"/>
      <c r="D332" s="904"/>
      <c r="E332" s="904"/>
      <c r="F332" s="904"/>
      <c r="G332" s="904"/>
      <c r="H332" s="904"/>
    </row>
    <row r="333" spans="1:8" x14ac:dyDescent="0.2">
      <c r="A333" s="905" t="s">
        <v>363</v>
      </c>
      <c r="B333" s="904"/>
      <c r="C333" s="904"/>
      <c r="D333" s="904"/>
      <c r="E333" s="904"/>
      <c r="F333" s="904"/>
      <c r="G333" s="904"/>
      <c r="H333" s="904"/>
    </row>
    <row r="334" spans="1:8" x14ac:dyDescent="0.2">
      <c r="A334" s="905" t="s">
        <v>364</v>
      </c>
      <c r="B334" s="904"/>
      <c r="C334" s="904"/>
      <c r="D334" s="904"/>
      <c r="E334" s="904"/>
      <c r="F334" s="904"/>
      <c r="G334" s="904"/>
      <c r="H334" s="904"/>
    </row>
    <row r="335" spans="1:8" x14ac:dyDescent="0.2">
      <c r="A335" s="905" t="s">
        <v>365</v>
      </c>
      <c r="B335" s="904"/>
      <c r="C335" s="904"/>
      <c r="D335" s="904"/>
      <c r="E335" s="904"/>
      <c r="F335" s="904"/>
      <c r="G335" s="904"/>
      <c r="H335" s="904"/>
    </row>
    <row r="336" spans="1:8" x14ac:dyDescent="0.2">
      <c r="A336" s="905" t="s">
        <v>366</v>
      </c>
      <c r="B336" s="904"/>
      <c r="C336" s="904"/>
      <c r="D336" s="904"/>
      <c r="E336" s="904"/>
      <c r="F336" s="904"/>
      <c r="G336" s="904"/>
      <c r="H336" s="904"/>
    </row>
    <row r="337" spans="1:8" x14ac:dyDescent="0.2">
      <c r="A337" s="905" t="s">
        <v>367</v>
      </c>
      <c r="B337" s="904"/>
      <c r="C337" s="904"/>
      <c r="D337" s="904"/>
      <c r="E337" s="904"/>
      <c r="F337" s="904"/>
      <c r="G337" s="904"/>
      <c r="H337" s="904"/>
    </row>
    <row r="338" spans="1:8" x14ac:dyDescent="0.2">
      <c r="A338" s="905" t="s">
        <v>368</v>
      </c>
      <c r="B338" s="904"/>
      <c r="C338" s="904"/>
      <c r="D338" s="904"/>
      <c r="E338" s="904"/>
      <c r="F338" s="904"/>
      <c r="G338" s="904"/>
      <c r="H338" s="904"/>
    </row>
    <row r="339" spans="1:8" x14ac:dyDescent="0.2">
      <c r="A339" s="905" t="s">
        <v>369</v>
      </c>
      <c r="B339" s="904"/>
      <c r="C339" s="904"/>
      <c r="D339" s="904"/>
      <c r="E339" s="904"/>
      <c r="F339" s="904"/>
      <c r="G339" s="904"/>
      <c r="H339" s="904"/>
    </row>
    <row r="340" spans="1:8" x14ac:dyDescent="0.2">
      <c r="A340" s="905" t="s">
        <v>370</v>
      </c>
      <c r="B340" s="904"/>
      <c r="C340" s="904"/>
      <c r="D340" s="904"/>
      <c r="E340" s="904"/>
      <c r="F340" s="904"/>
      <c r="G340" s="904"/>
      <c r="H340" s="904"/>
    </row>
    <row r="341" spans="1:8" x14ac:dyDescent="0.2">
      <c r="A341" s="905" t="s">
        <v>371</v>
      </c>
      <c r="B341" s="904"/>
      <c r="C341" s="904"/>
      <c r="D341" s="904"/>
      <c r="E341" s="904"/>
      <c r="F341" s="904"/>
      <c r="G341" s="904"/>
      <c r="H341" s="904"/>
    </row>
    <row r="342" spans="1:8" x14ac:dyDescent="0.2">
      <c r="A342" s="905" t="s">
        <v>372</v>
      </c>
      <c r="B342" s="904"/>
      <c r="C342" s="904"/>
      <c r="D342" s="904"/>
      <c r="E342" s="904"/>
      <c r="F342" s="904"/>
      <c r="G342" s="904"/>
      <c r="H342" s="904"/>
    </row>
    <row r="343" spans="1:8" x14ac:dyDescent="0.2">
      <c r="A343" s="905" t="s">
        <v>373</v>
      </c>
      <c r="B343" s="904"/>
      <c r="C343" s="904"/>
      <c r="D343" s="904"/>
      <c r="E343" s="904"/>
      <c r="F343" s="904"/>
      <c r="G343" s="904"/>
      <c r="H343" s="904"/>
    </row>
    <row r="344" spans="1:8" x14ac:dyDescent="0.2">
      <c r="A344" s="905" t="s">
        <v>374</v>
      </c>
      <c r="B344" s="904"/>
      <c r="C344" s="904"/>
      <c r="D344" s="904"/>
      <c r="E344" s="904"/>
      <c r="F344" s="904"/>
      <c r="G344" s="904"/>
      <c r="H344" s="904"/>
    </row>
    <row r="345" spans="1:8" x14ac:dyDescent="0.2">
      <c r="A345" s="905" t="s">
        <v>375</v>
      </c>
      <c r="B345" s="904"/>
      <c r="C345" s="904"/>
      <c r="D345" s="904"/>
      <c r="E345" s="904"/>
      <c r="F345" s="904"/>
      <c r="G345" s="904"/>
      <c r="H345" s="904"/>
    </row>
    <row r="346" spans="1:8" x14ac:dyDescent="0.2">
      <c r="A346" s="905" t="s">
        <v>376</v>
      </c>
      <c r="B346" s="904"/>
      <c r="C346" s="904"/>
      <c r="D346" s="904"/>
      <c r="E346" s="904"/>
      <c r="F346" s="904"/>
      <c r="G346" s="904"/>
      <c r="H346" s="904"/>
    </row>
    <row r="347" spans="1:8" x14ac:dyDescent="0.2">
      <c r="A347" s="905" t="s">
        <v>377</v>
      </c>
      <c r="B347" s="904"/>
      <c r="C347" s="904"/>
      <c r="D347" s="904"/>
      <c r="E347" s="904"/>
      <c r="F347" s="904"/>
      <c r="G347" s="904"/>
      <c r="H347" s="904"/>
    </row>
    <row r="348" spans="1:8" x14ac:dyDescent="0.2">
      <c r="A348" s="905" t="s">
        <v>378</v>
      </c>
      <c r="B348" s="904"/>
      <c r="C348" s="904"/>
      <c r="D348" s="904"/>
      <c r="E348" s="904"/>
      <c r="F348" s="904"/>
      <c r="G348" s="904"/>
      <c r="H348" s="904"/>
    </row>
    <row r="349" spans="1:8" x14ac:dyDescent="0.2">
      <c r="A349" s="905" t="s">
        <v>379</v>
      </c>
      <c r="B349" s="904"/>
      <c r="C349" s="904"/>
      <c r="D349" s="904"/>
      <c r="E349" s="904"/>
      <c r="F349" s="904"/>
      <c r="G349" s="904"/>
      <c r="H349" s="904"/>
    </row>
    <row r="350" spans="1:8" x14ac:dyDescent="0.2">
      <c r="A350" s="905" t="s">
        <v>380</v>
      </c>
      <c r="B350" s="904"/>
      <c r="C350" s="904"/>
      <c r="D350" s="904"/>
      <c r="E350" s="904"/>
      <c r="F350" s="904"/>
      <c r="G350" s="904"/>
      <c r="H350" s="904"/>
    </row>
    <row r="351" spans="1:8" x14ac:dyDescent="0.2">
      <c r="A351" s="905" t="s">
        <v>381</v>
      </c>
      <c r="B351" s="904"/>
      <c r="C351" s="904"/>
      <c r="D351" s="904"/>
      <c r="E351" s="904"/>
      <c r="F351" s="904"/>
      <c r="G351" s="904"/>
      <c r="H351" s="904"/>
    </row>
    <row r="352" spans="1:8" x14ac:dyDescent="0.2">
      <c r="A352" s="905" t="s">
        <v>382</v>
      </c>
      <c r="B352" s="904"/>
      <c r="C352" s="904"/>
      <c r="D352" s="904"/>
      <c r="E352" s="904"/>
      <c r="F352" s="904"/>
      <c r="G352" s="904"/>
      <c r="H352" s="904"/>
    </row>
    <row r="353" spans="1:8" x14ac:dyDescent="0.2">
      <c r="A353" s="905" t="s">
        <v>383</v>
      </c>
      <c r="B353" s="904"/>
      <c r="C353" s="904"/>
      <c r="D353" s="904"/>
      <c r="E353" s="904"/>
      <c r="F353" s="904"/>
      <c r="G353" s="904"/>
      <c r="H353" s="904"/>
    </row>
    <row r="354" spans="1:8" x14ac:dyDescent="0.2">
      <c r="A354" s="905" t="s">
        <v>384</v>
      </c>
      <c r="B354" s="904"/>
      <c r="C354" s="904"/>
      <c r="D354" s="904"/>
      <c r="E354" s="904"/>
      <c r="F354" s="904"/>
      <c r="G354" s="904"/>
      <c r="H354" s="904"/>
    </row>
    <row r="355" spans="1:8" x14ac:dyDescent="0.2">
      <c r="A355" s="905" t="s">
        <v>385</v>
      </c>
      <c r="B355" s="904"/>
      <c r="C355" s="904"/>
      <c r="D355" s="904"/>
      <c r="E355" s="904"/>
      <c r="F355" s="904"/>
      <c r="G355" s="904"/>
      <c r="H355" s="904"/>
    </row>
    <row r="356" spans="1:8" x14ac:dyDescent="0.2">
      <c r="A356" s="905" t="s">
        <v>386</v>
      </c>
      <c r="B356" s="904"/>
      <c r="C356" s="904"/>
      <c r="D356" s="904"/>
      <c r="E356" s="904"/>
      <c r="F356" s="904"/>
      <c r="G356" s="904"/>
      <c r="H356" s="904"/>
    </row>
    <row r="357" spans="1:8" x14ac:dyDescent="0.2">
      <c r="A357" s="905" t="s">
        <v>387</v>
      </c>
      <c r="B357" s="904"/>
      <c r="C357" s="904"/>
      <c r="D357" s="904"/>
      <c r="E357" s="904"/>
      <c r="F357" s="904"/>
      <c r="G357" s="904"/>
      <c r="H357" s="904"/>
    </row>
    <row r="358" spans="1:8" x14ac:dyDescent="0.2">
      <c r="A358" s="905" t="s">
        <v>388</v>
      </c>
      <c r="B358" s="904"/>
      <c r="C358" s="904"/>
      <c r="D358" s="904"/>
      <c r="E358" s="904"/>
      <c r="F358" s="904"/>
      <c r="G358" s="904"/>
      <c r="H358" s="904"/>
    </row>
    <row r="359" spans="1:8" x14ac:dyDescent="0.2">
      <c r="A359" s="905" t="s">
        <v>389</v>
      </c>
      <c r="B359" s="904"/>
      <c r="C359" s="904"/>
      <c r="D359" s="904"/>
      <c r="E359" s="904"/>
      <c r="F359" s="904"/>
      <c r="G359" s="904"/>
      <c r="H359" s="904"/>
    </row>
    <row r="360" spans="1:8" x14ac:dyDescent="0.2">
      <c r="A360" s="905" t="s">
        <v>390</v>
      </c>
      <c r="B360" s="904"/>
      <c r="C360" s="904"/>
      <c r="D360" s="904"/>
      <c r="E360" s="904"/>
      <c r="F360" s="904"/>
      <c r="G360" s="904"/>
      <c r="H360" s="904"/>
    </row>
    <row r="361" spans="1:8" x14ac:dyDescent="0.2">
      <c r="A361" s="905" t="s">
        <v>391</v>
      </c>
      <c r="B361" s="904"/>
      <c r="C361" s="904"/>
      <c r="D361" s="904"/>
      <c r="E361" s="904"/>
      <c r="F361" s="904"/>
      <c r="G361" s="904"/>
      <c r="H361" s="904"/>
    </row>
    <row r="362" spans="1:8" x14ac:dyDescent="0.2">
      <c r="A362" s="905" t="s">
        <v>392</v>
      </c>
      <c r="B362" s="904"/>
      <c r="C362" s="904"/>
      <c r="D362" s="904"/>
      <c r="E362" s="904"/>
      <c r="F362" s="904"/>
      <c r="G362" s="904"/>
      <c r="H362" s="904"/>
    </row>
    <row r="363" spans="1:8" x14ac:dyDescent="0.2">
      <c r="A363" s="905" t="s">
        <v>393</v>
      </c>
      <c r="B363" s="904"/>
      <c r="C363" s="904"/>
      <c r="D363" s="904"/>
      <c r="E363" s="904"/>
      <c r="F363" s="904"/>
      <c r="G363" s="904"/>
      <c r="H363" s="904"/>
    </row>
    <row r="364" spans="1:8" x14ac:dyDescent="0.2">
      <c r="A364" s="905" t="s">
        <v>394</v>
      </c>
      <c r="B364" s="904"/>
      <c r="C364" s="904"/>
      <c r="D364" s="904"/>
      <c r="E364" s="904"/>
      <c r="F364" s="904"/>
      <c r="G364" s="904"/>
      <c r="H364" s="904"/>
    </row>
    <row r="365" spans="1:8" x14ac:dyDescent="0.2">
      <c r="A365" s="904"/>
      <c r="B365" s="904"/>
      <c r="C365" s="904"/>
      <c r="D365" s="904"/>
      <c r="E365" s="904"/>
      <c r="F365" s="904"/>
      <c r="G365" s="904"/>
      <c r="H365" s="904"/>
    </row>
    <row r="366" spans="1:8" x14ac:dyDescent="0.2">
      <c r="A366" s="905" t="s">
        <v>352</v>
      </c>
      <c r="B366" s="904"/>
      <c r="C366" s="904"/>
      <c r="D366" s="904"/>
      <c r="E366" s="904"/>
      <c r="F366" s="904"/>
      <c r="G366" s="904"/>
      <c r="H366" s="904"/>
    </row>
    <row r="367" spans="1:8" x14ac:dyDescent="0.2">
      <c r="A367" s="905" t="s">
        <v>356</v>
      </c>
      <c r="B367" s="904"/>
      <c r="C367" s="904"/>
      <c r="D367" s="904"/>
      <c r="E367" s="904"/>
      <c r="F367" s="904"/>
      <c r="G367" s="904"/>
      <c r="H367" s="904"/>
    </row>
    <row r="368" spans="1:8" x14ac:dyDescent="0.2">
      <c r="A368" s="905" t="s">
        <v>357</v>
      </c>
      <c r="B368" s="904"/>
      <c r="C368" s="904"/>
      <c r="D368" s="904"/>
      <c r="E368" s="904"/>
      <c r="F368" s="904"/>
      <c r="G368" s="904"/>
      <c r="H368" s="904"/>
    </row>
    <row r="369" spans="1:8" x14ac:dyDescent="0.2">
      <c r="A369" s="905" t="s">
        <v>358</v>
      </c>
      <c r="B369" s="904"/>
      <c r="C369" s="904"/>
      <c r="D369" s="904"/>
      <c r="E369" s="904"/>
      <c r="F369" s="904"/>
      <c r="G369" s="904"/>
      <c r="H369" s="904"/>
    </row>
    <row r="370" spans="1:8" x14ac:dyDescent="0.2">
      <c r="A370" s="905" t="s">
        <v>359</v>
      </c>
      <c r="B370" s="904"/>
      <c r="C370" s="904"/>
      <c r="D370" s="904"/>
      <c r="E370" s="904"/>
      <c r="F370" s="904"/>
      <c r="G370" s="904"/>
      <c r="H370" s="904"/>
    </row>
    <row r="371" spans="1:8" x14ac:dyDescent="0.2">
      <c r="A371" s="904"/>
      <c r="B371" s="904"/>
      <c r="C371" s="904"/>
      <c r="D371" s="904"/>
      <c r="E371" s="904"/>
      <c r="F371" s="904"/>
      <c r="G371" s="904"/>
      <c r="H371" s="904"/>
    </row>
    <row r="372" spans="1:8" x14ac:dyDescent="0.2">
      <c r="A372" s="905" t="s">
        <v>352</v>
      </c>
      <c r="B372" s="904"/>
      <c r="C372" s="904"/>
      <c r="D372" s="904"/>
      <c r="E372" s="904"/>
      <c r="F372" s="904"/>
      <c r="G372" s="904"/>
      <c r="H372" s="904"/>
    </row>
    <row r="373" spans="1:8" x14ac:dyDescent="0.2">
      <c r="A373" s="905" t="s">
        <v>353</v>
      </c>
      <c r="B373" s="904"/>
      <c r="C373" s="904"/>
      <c r="D373" s="904"/>
      <c r="E373" s="904"/>
      <c r="F373" s="904"/>
      <c r="G373" s="904"/>
      <c r="H373" s="904"/>
    </row>
    <row r="374" spans="1:8" x14ac:dyDescent="0.2">
      <c r="A374" s="905" t="s">
        <v>354</v>
      </c>
      <c r="B374" s="904"/>
      <c r="C374" s="904"/>
      <c r="D374" s="904"/>
      <c r="E374" s="904"/>
      <c r="F374" s="904"/>
      <c r="G374" s="904"/>
      <c r="H374" s="904"/>
    </row>
    <row r="375" spans="1:8" x14ac:dyDescent="0.2">
      <c r="A375" s="905" t="s">
        <v>355</v>
      </c>
      <c r="B375" s="904"/>
      <c r="C375" s="904"/>
      <c r="D375" s="904"/>
      <c r="E375" s="904"/>
      <c r="F375" s="904"/>
      <c r="G375" s="904"/>
      <c r="H375" s="904"/>
    </row>
    <row r="376" spans="1:8" x14ac:dyDescent="0.2">
      <c r="A376" s="904"/>
      <c r="B376" s="904"/>
      <c r="C376" s="904"/>
      <c r="D376" s="904"/>
      <c r="E376" s="904"/>
      <c r="F376" s="904"/>
      <c r="G376" s="904"/>
      <c r="H376" s="904"/>
    </row>
    <row r="377" spans="1:8" x14ac:dyDescent="0.2">
      <c r="A377" s="905" t="s">
        <v>346</v>
      </c>
      <c r="B377" s="904"/>
      <c r="C377" s="904"/>
      <c r="D377" s="904"/>
      <c r="E377" s="904"/>
      <c r="F377" s="904"/>
      <c r="G377" s="904"/>
      <c r="H377" s="904"/>
    </row>
    <row r="378" spans="1:8" x14ac:dyDescent="0.2">
      <c r="A378" s="905" t="s">
        <v>347</v>
      </c>
      <c r="B378" s="904"/>
      <c r="C378" s="904"/>
      <c r="D378" s="904"/>
      <c r="E378" s="904"/>
      <c r="F378" s="904"/>
      <c r="G378" s="904"/>
      <c r="H378" s="904"/>
    </row>
    <row r="379" spans="1:8" x14ac:dyDescent="0.2">
      <c r="A379" s="905" t="s">
        <v>348</v>
      </c>
      <c r="B379" s="904"/>
      <c r="C379" s="904"/>
      <c r="D379" s="904"/>
      <c r="E379" s="904"/>
      <c r="F379" s="904"/>
      <c r="G379" s="904"/>
      <c r="H379" s="904"/>
    </row>
    <row r="380" spans="1:8" x14ac:dyDescent="0.2">
      <c r="A380" s="905" t="s">
        <v>349</v>
      </c>
      <c r="B380" s="904"/>
      <c r="C380" s="904"/>
      <c r="D380" s="904"/>
      <c r="E380" s="904"/>
      <c r="F380" s="904"/>
      <c r="G380" s="904"/>
      <c r="H380" s="904"/>
    </row>
    <row r="381" spans="1:8" x14ac:dyDescent="0.2">
      <c r="A381" s="905" t="s">
        <v>350</v>
      </c>
      <c r="B381" s="904"/>
      <c r="C381" s="904"/>
      <c r="D381" s="904"/>
      <c r="E381" s="904"/>
      <c r="F381" s="904"/>
      <c r="G381" s="904"/>
      <c r="H381" s="904"/>
    </row>
    <row r="382" spans="1:8" x14ac:dyDescent="0.2">
      <c r="A382" s="905" t="s">
        <v>351</v>
      </c>
      <c r="B382" s="904"/>
      <c r="C382" s="904"/>
      <c r="D382" s="904"/>
      <c r="E382" s="904"/>
      <c r="F382" s="904"/>
      <c r="G382" s="904"/>
      <c r="H382" s="904"/>
    </row>
    <row r="383" spans="1:8" x14ac:dyDescent="0.2">
      <c r="A383" s="904"/>
      <c r="B383" s="904"/>
      <c r="C383" s="904"/>
      <c r="D383" s="904"/>
      <c r="E383" s="904"/>
      <c r="F383" s="904"/>
      <c r="G383" s="904"/>
      <c r="H383" s="904"/>
    </row>
    <row r="384" spans="1:8" x14ac:dyDescent="0.2">
      <c r="A384" s="905" t="s">
        <v>341</v>
      </c>
      <c r="B384" s="904"/>
      <c r="C384" s="904"/>
      <c r="D384" s="904"/>
      <c r="E384" s="904"/>
      <c r="F384" s="904"/>
      <c r="G384" s="904"/>
      <c r="H384" s="904"/>
    </row>
    <row r="385" spans="1:8" x14ac:dyDescent="0.2">
      <c r="A385" s="905" t="s">
        <v>342</v>
      </c>
      <c r="B385" s="904"/>
      <c r="C385" s="904"/>
      <c r="D385" s="904"/>
      <c r="E385" s="904"/>
      <c r="F385" s="904"/>
      <c r="G385" s="904"/>
      <c r="H385" s="904"/>
    </row>
    <row r="386" spans="1:8" x14ac:dyDescent="0.2">
      <c r="A386" s="905" t="s">
        <v>343</v>
      </c>
      <c r="B386" s="904"/>
      <c r="C386" s="904"/>
      <c r="D386" s="904"/>
      <c r="E386" s="904"/>
      <c r="F386" s="904"/>
      <c r="G386" s="904"/>
      <c r="H386" s="904"/>
    </row>
    <row r="387" spans="1:8" x14ac:dyDescent="0.2">
      <c r="A387" s="905" t="s">
        <v>344</v>
      </c>
      <c r="B387" s="904"/>
      <c r="C387" s="904"/>
      <c r="D387" s="904"/>
      <c r="E387" s="904"/>
      <c r="F387" s="904"/>
      <c r="G387" s="904"/>
      <c r="H387" s="904"/>
    </row>
    <row r="388" spans="1:8" x14ac:dyDescent="0.2">
      <c r="A388" s="905" t="s">
        <v>345</v>
      </c>
      <c r="B388" s="904"/>
      <c r="C388" s="904"/>
      <c r="D388" s="904"/>
      <c r="E388" s="904"/>
      <c r="F388" s="904"/>
      <c r="G388" s="904"/>
      <c r="H388" s="904"/>
    </row>
    <row r="389" spans="1:8" x14ac:dyDescent="0.2">
      <c r="A389" s="904"/>
      <c r="B389" s="904"/>
      <c r="C389" s="904"/>
      <c r="D389" s="904"/>
      <c r="E389" s="904"/>
      <c r="F389" s="904"/>
      <c r="G389" s="904"/>
      <c r="H389" s="904"/>
    </row>
    <row r="390" spans="1:8" x14ac:dyDescent="0.2">
      <c r="A390" s="905" t="s">
        <v>339</v>
      </c>
      <c r="B390" s="904"/>
      <c r="C390" s="904"/>
      <c r="D390" s="904"/>
      <c r="E390" s="904"/>
      <c r="F390" s="904"/>
      <c r="G390" s="904"/>
      <c r="H390" s="904"/>
    </row>
    <row r="391" spans="1:8" x14ac:dyDescent="0.2">
      <c r="A391" s="905" t="s">
        <v>340</v>
      </c>
      <c r="B391" s="904"/>
      <c r="C391" s="904"/>
      <c r="D391" s="904"/>
      <c r="E391" s="904"/>
      <c r="F391" s="904"/>
      <c r="G391" s="904"/>
      <c r="H391" s="904"/>
    </row>
    <row r="393" spans="1:8" x14ac:dyDescent="0.2">
      <c r="A393" s="900" t="s">
        <v>597</v>
      </c>
    </row>
  </sheetData>
  <mergeCells count="12">
    <mergeCell ref="A117:H117"/>
    <mergeCell ref="A124:H124"/>
    <mergeCell ref="A111:H111"/>
    <mergeCell ref="A112:H112"/>
    <mergeCell ref="A113:H113"/>
    <mergeCell ref="A114:H114"/>
    <mergeCell ref="A116:H116"/>
    <mergeCell ref="A132:H132"/>
    <mergeCell ref="A133:H133"/>
    <mergeCell ref="B125:C125"/>
    <mergeCell ref="D125:F125"/>
    <mergeCell ref="G125:H125"/>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B11"/>
  <sheetViews>
    <sheetView showGridLines="0" showRowColHeaders="0" workbookViewId="0">
      <selection activeCell="N1" sqref="N1"/>
    </sheetView>
  </sheetViews>
  <sheetFormatPr defaultRowHeight="12.75" x14ac:dyDescent="0.2"/>
  <cols>
    <col min="1" max="1" width="8.85546875" style="548"/>
    <col min="2" max="2" width="88.28515625" style="548" customWidth="1"/>
    <col min="3" max="257" width="8.85546875" style="548"/>
    <col min="258" max="258" width="88.28515625" style="548" customWidth="1"/>
    <col min="259" max="513" width="8.85546875" style="548"/>
    <col min="514" max="514" width="88.28515625" style="548" customWidth="1"/>
    <col min="515" max="769" width="8.85546875" style="548"/>
    <col min="770" max="770" width="88.28515625" style="548" customWidth="1"/>
    <col min="771" max="1025" width="8.85546875" style="548"/>
    <col min="1026" max="1026" width="88.28515625" style="548" customWidth="1"/>
    <col min="1027" max="1281" width="8.85546875" style="548"/>
    <col min="1282" max="1282" width="88.28515625" style="548" customWidth="1"/>
    <col min="1283" max="1537" width="8.85546875" style="548"/>
    <col min="1538" max="1538" width="88.28515625" style="548" customWidth="1"/>
    <col min="1539" max="1793" width="8.85546875" style="548"/>
    <col min="1794" max="1794" width="88.28515625" style="548" customWidth="1"/>
    <col min="1795" max="2049" width="8.85546875" style="548"/>
    <col min="2050" max="2050" width="88.28515625" style="548" customWidth="1"/>
    <col min="2051" max="2305" width="8.85546875" style="548"/>
    <col min="2306" max="2306" width="88.28515625" style="548" customWidth="1"/>
    <col min="2307" max="2561" width="8.85546875" style="548"/>
    <col min="2562" max="2562" width="88.28515625" style="548" customWidth="1"/>
    <col min="2563" max="2817" width="8.85546875" style="548"/>
    <col min="2818" max="2818" width="88.28515625" style="548" customWidth="1"/>
    <col min="2819" max="3073" width="8.85546875" style="548"/>
    <col min="3074" max="3074" width="88.28515625" style="548" customWidth="1"/>
    <col min="3075" max="3329" width="8.85546875" style="548"/>
    <col min="3330" max="3330" width="88.28515625" style="548" customWidth="1"/>
    <col min="3331" max="3585" width="8.85546875" style="548"/>
    <col min="3586" max="3586" width="88.28515625" style="548" customWidth="1"/>
    <col min="3587" max="3841" width="8.85546875" style="548"/>
    <col min="3842" max="3842" width="88.28515625" style="548" customWidth="1"/>
    <col min="3843" max="4097" width="8.85546875" style="548"/>
    <col min="4098" max="4098" width="88.28515625" style="548" customWidth="1"/>
    <col min="4099" max="4353" width="8.85546875" style="548"/>
    <col min="4354" max="4354" width="88.28515625" style="548" customWidth="1"/>
    <col min="4355" max="4609" width="8.85546875" style="548"/>
    <col min="4610" max="4610" width="88.28515625" style="548" customWidth="1"/>
    <col min="4611" max="4865" width="8.85546875" style="548"/>
    <col min="4866" max="4866" width="88.28515625" style="548" customWidth="1"/>
    <col min="4867" max="5121" width="8.85546875" style="548"/>
    <col min="5122" max="5122" width="88.28515625" style="548" customWidth="1"/>
    <col min="5123" max="5377" width="8.85546875" style="548"/>
    <col min="5378" max="5378" width="88.28515625" style="548" customWidth="1"/>
    <col min="5379" max="5633" width="8.85546875" style="548"/>
    <col min="5634" max="5634" width="88.28515625" style="548" customWidth="1"/>
    <col min="5635" max="5889" width="8.85546875" style="548"/>
    <col min="5890" max="5890" width="88.28515625" style="548" customWidth="1"/>
    <col min="5891" max="6145" width="8.85546875" style="548"/>
    <col min="6146" max="6146" width="88.28515625" style="548" customWidth="1"/>
    <col min="6147" max="6401" width="8.85546875" style="548"/>
    <col min="6402" max="6402" width="88.28515625" style="548" customWidth="1"/>
    <col min="6403" max="6657" width="8.85546875" style="548"/>
    <col min="6658" max="6658" width="88.28515625" style="548" customWidth="1"/>
    <col min="6659" max="6913" width="8.85546875" style="548"/>
    <col min="6914" max="6914" width="88.28515625" style="548" customWidth="1"/>
    <col min="6915" max="7169" width="8.85546875" style="548"/>
    <col min="7170" max="7170" width="88.28515625" style="548" customWidth="1"/>
    <col min="7171" max="7425" width="8.85546875" style="548"/>
    <col min="7426" max="7426" width="88.28515625" style="548" customWidth="1"/>
    <col min="7427" max="7681" width="8.85546875" style="548"/>
    <col min="7682" max="7682" width="88.28515625" style="548" customWidth="1"/>
    <col min="7683" max="7937" width="8.85546875" style="548"/>
    <col min="7938" max="7938" width="88.28515625" style="548" customWidth="1"/>
    <col min="7939" max="8193" width="8.85546875" style="548"/>
    <col min="8194" max="8194" width="88.28515625" style="548" customWidth="1"/>
    <col min="8195" max="8449" width="8.85546875" style="548"/>
    <col min="8450" max="8450" width="88.28515625" style="548" customWidth="1"/>
    <col min="8451" max="8705" width="8.85546875" style="548"/>
    <col min="8706" max="8706" width="88.28515625" style="548" customWidth="1"/>
    <col min="8707" max="8961" width="8.85546875" style="548"/>
    <col min="8962" max="8962" width="88.28515625" style="548" customWidth="1"/>
    <col min="8963" max="9217" width="8.85546875" style="548"/>
    <col min="9218" max="9218" width="88.28515625" style="548" customWidth="1"/>
    <col min="9219" max="9473" width="8.85546875" style="548"/>
    <col min="9474" max="9474" width="88.28515625" style="548" customWidth="1"/>
    <col min="9475" max="9729" width="8.85546875" style="548"/>
    <col min="9730" max="9730" width="88.28515625" style="548" customWidth="1"/>
    <col min="9731" max="9985" width="8.85546875" style="548"/>
    <col min="9986" max="9986" width="88.28515625" style="548" customWidth="1"/>
    <col min="9987" max="10241" width="8.85546875" style="548"/>
    <col min="10242" max="10242" width="88.28515625" style="548" customWidth="1"/>
    <col min="10243" max="10497" width="8.85546875" style="548"/>
    <col min="10498" max="10498" width="88.28515625" style="548" customWidth="1"/>
    <col min="10499" max="10753" width="8.85546875" style="548"/>
    <col min="10754" max="10754" width="88.28515625" style="548" customWidth="1"/>
    <col min="10755" max="11009" width="8.85546875" style="548"/>
    <col min="11010" max="11010" width="88.28515625" style="548" customWidth="1"/>
    <col min="11011" max="11265" width="8.85546875" style="548"/>
    <col min="11266" max="11266" width="88.28515625" style="548" customWidth="1"/>
    <col min="11267" max="11521" width="8.85546875" style="548"/>
    <col min="11522" max="11522" width="88.28515625" style="548" customWidth="1"/>
    <col min="11523" max="11777" width="8.85546875" style="548"/>
    <col min="11778" max="11778" width="88.28515625" style="548" customWidth="1"/>
    <col min="11779" max="12033" width="8.85546875" style="548"/>
    <col min="12034" max="12034" width="88.28515625" style="548" customWidth="1"/>
    <col min="12035" max="12289" width="8.85546875" style="548"/>
    <col min="12290" max="12290" width="88.28515625" style="548" customWidth="1"/>
    <col min="12291" max="12545" width="8.85546875" style="548"/>
    <col min="12546" max="12546" width="88.28515625" style="548" customWidth="1"/>
    <col min="12547" max="12801" width="8.85546875" style="548"/>
    <col min="12802" max="12802" width="88.28515625" style="548" customWidth="1"/>
    <col min="12803" max="13057" width="8.85546875" style="548"/>
    <col min="13058" max="13058" width="88.28515625" style="548" customWidth="1"/>
    <col min="13059" max="13313" width="8.85546875" style="548"/>
    <col min="13314" max="13314" width="88.28515625" style="548" customWidth="1"/>
    <col min="13315" max="13569" width="8.85546875" style="548"/>
    <col min="13570" max="13570" width="88.28515625" style="548" customWidth="1"/>
    <col min="13571" max="13825" width="8.85546875" style="548"/>
    <col min="13826" max="13826" width="88.28515625" style="548" customWidth="1"/>
    <col min="13827" max="14081" width="8.85546875" style="548"/>
    <col min="14082" max="14082" width="88.28515625" style="548" customWidth="1"/>
    <col min="14083" max="14337" width="8.85546875" style="548"/>
    <col min="14338" max="14338" width="88.28515625" style="548" customWidth="1"/>
    <col min="14339" max="14593" width="8.85546875" style="548"/>
    <col min="14594" max="14594" width="88.28515625" style="548" customWidth="1"/>
    <col min="14595" max="14849" width="8.85546875" style="548"/>
    <col min="14850" max="14850" width="88.28515625" style="548" customWidth="1"/>
    <col min="14851" max="15105" width="8.85546875" style="548"/>
    <col min="15106" max="15106" width="88.28515625" style="548" customWidth="1"/>
    <col min="15107" max="15361" width="8.85546875" style="548"/>
    <col min="15362" max="15362" width="88.28515625" style="548" customWidth="1"/>
    <col min="15363" max="15617" width="8.85546875" style="548"/>
    <col min="15618" max="15618" width="88.28515625" style="548" customWidth="1"/>
    <col min="15619" max="15873" width="8.85546875" style="548"/>
    <col min="15874" max="15874" width="88.28515625" style="548" customWidth="1"/>
    <col min="15875" max="16129" width="8.85546875" style="548"/>
    <col min="16130" max="16130" width="88.28515625" style="548" customWidth="1"/>
    <col min="16131" max="16384" width="8.85546875" style="548"/>
  </cols>
  <sheetData>
    <row r="1" spans="2:2" ht="32.25" customHeight="1" x14ac:dyDescent="0.2"/>
    <row r="2" spans="2:2" ht="72" hidden="1" x14ac:dyDescent="0.25">
      <c r="B2" s="916" t="s">
        <v>664</v>
      </c>
    </row>
    <row r="3" spans="2:2" ht="72" x14ac:dyDescent="0.25">
      <c r="B3" s="916" t="s">
        <v>665</v>
      </c>
    </row>
    <row r="4" spans="2:2" ht="18" hidden="1" x14ac:dyDescent="0.25">
      <c r="B4" s="916"/>
    </row>
    <row r="5" spans="2:2" ht="54" hidden="1" x14ac:dyDescent="0.25">
      <c r="B5" s="916" t="s">
        <v>666</v>
      </c>
    </row>
    <row r="6" spans="2:2" ht="7.5" customHeight="1" x14ac:dyDescent="0.25">
      <c r="B6" s="916"/>
    </row>
    <row r="7" spans="2:2" ht="18" x14ac:dyDescent="0.25">
      <c r="B7" s="917" t="s">
        <v>667</v>
      </c>
    </row>
    <row r="8" spans="2:2" ht="18" x14ac:dyDescent="0.25">
      <c r="B8" s="917" t="s">
        <v>669</v>
      </c>
    </row>
    <row r="9" spans="2:2" ht="18" x14ac:dyDescent="0.25">
      <c r="B9" s="917" t="s">
        <v>670</v>
      </c>
    </row>
    <row r="10" spans="2:2" ht="18" x14ac:dyDescent="0.25">
      <c r="B10" s="918"/>
    </row>
    <row r="11" spans="2:2" ht="54" x14ac:dyDescent="0.25">
      <c r="B11" s="919" t="s">
        <v>668</v>
      </c>
    </row>
  </sheetData>
  <dataConsolidate/>
  <pageMargins left="0.75" right="0.75" top="1" bottom="1" header="0.5" footer="0.5"/>
  <pageSetup orientation="portrait" horizont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3"/>
  <sheetViews>
    <sheetView showGridLines="0" zoomScale="85" zoomScaleNormal="85" workbookViewId="0"/>
  </sheetViews>
  <sheetFormatPr defaultColWidth="9.140625" defaultRowHeight="11.25" customHeight="1" x14ac:dyDescent="0.2"/>
  <cols>
    <col min="1" max="1" width="6.5703125" style="14" customWidth="1"/>
    <col min="2" max="2" width="3.140625" style="14" customWidth="1"/>
    <col min="3" max="3" width="15.28515625" style="14" customWidth="1"/>
    <col min="4" max="7" width="9.140625" style="14"/>
    <col min="8" max="8" width="8.28515625" style="14" customWidth="1"/>
    <col min="9" max="9" width="0" style="14" hidden="1" customWidth="1"/>
    <col min="10" max="10" width="9.140625" style="14"/>
    <col min="11" max="11" width="25" style="14" customWidth="1"/>
    <col min="12" max="16384" width="9.140625" style="14"/>
  </cols>
  <sheetData>
    <row r="1" spans="1:12" ht="11.25" customHeight="1" x14ac:dyDescent="0.2">
      <c r="A1" s="12"/>
      <c r="B1" s="12"/>
      <c r="C1" s="12"/>
      <c r="D1" s="12"/>
      <c r="E1" s="12"/>
      <c r="F1" s="12"/>
      <c r="G1" s="13"/>
      <c r="H1" s="13"/>
      <c r="I1" s="13"/>
      <c r="J1" s="13"/>
      <c r="K1" s="13"/>
      <c r="L1" s="13"/>
    </row>
    <row r="2" spans="1:12" ht="11.25" customHeight="1" x14ac:dyDescent="0.2">
      <c r="A2" s="12"/>
      <c r="B2" s="12"/>
      <c r="C2" s="12"/>
      <c r="D2" s="12"/>
      <c r="E2" s="12"/>
      <c r="F2" s="12"/>
      <c r="G2" s="13"/>
      <c r="H2" s="13"/>
      <c r="I2" s="13"/>
      <c r="J2" s="13"/>
      <c r="K2" s="13"/>
      <c r="L2" s="13"/>
    </row>
    <row r="3" spans="1:12" ht="11.25" customHeight="1" x14ac:dyDescent="0.2">
      <c r="A3" s="12"/>
      <c r="B3" s="12"/>
      <c r="C3" s="12"/>
      <c r="D3" s="12"/>
      <c r="E3" s="12"/>
      <c r="F3" s="12"/>
      <c r="G3" s="13"/>
      <c r="H3" s="13"/>
      <c r="I3" s="13"/>
      <c r="J3" s="13"/>
      <c r="K3" s="13"/>
      <c r="L3" s="13"/>
    </row>
    <row r="4" spans="1:12" ht="11.25" customHeight="1" x14ac:dyDescent="0.2">
      <c r="A4" s="12"/>
      <c r="B4" s="12"/>
      <c r="C4" s="12"/>
      <c r="D4" s="12"/>
      <c r="E4" s="12"/>
      <c r="F4" s="12"/>
      <c r="G4" s="13"/>
      <c r="H4" s="13"/>
      <c r="I4" s="13"/>
      <c r="J4" s="13"/>
      <c r="K4" s="13"/>
      <c r="L4" s="13"/>
    </row>
    <row r="5" spans="1:12" ht="11.25" customHeight="1" x14ac:dyDescent="0.2">
      <c r="A5" s="12"/>
      <c r="B5" s="12"/>
      <c r="C5" s="12"/>
      <c r="D5" s="12"/>
      <c r="E5" s="12"/>
      <c r="F5" s="12"/>
      <c r="G5" s="13"/>
      <c r="H5" s="13"/>
      <c r="I5" s="13"/>
      <c r="J5" s="13"/>
      <c r="K5" s="13"/>
      <c r="L5" s="13"/>
    </row>
    <row r="6" spans="1:12" ht="11.25" customHeight="1" x14ac:dyDescent="0.2">
      <c r="A6" s="12"/>
      <c r="B6" s="12"/>
      <c r="C6" s="12"/>
      <c r="D6" s="12"/>
      <c r="E6" s="12"/>
      <c r="F6" s="12"/>
      <c r="G6" s="13"/>
      <c r="H6" s="13"/>
      <c r="I6" s="13"/>
      <c r="J6" s="13"/>
      <c r="K6" s="13"/>
      <c r="L6" s="13"/>
    </row>
    <row r="7" spans="1:12" ht="11.25" customHeight="1" x14ac:dyDescent="0.2">
      <c r="A7" s="12"/>
      <c r="B7" s="12"/>
      <c r="C7" s="12"/>
      <c r="D7" s="12"/>
      <c r="E7" s="12"/>
      <c r="F7" s="12"/>
      <c r="G7" s="13"/>
      <c r="H7" s="13"/>
      <c r="I7" s="13"/>
      <c r="J7" s="13"/>
      <c r="K7" s="13"/>
      <c r="L7" s="13"/>
    </row>
    <row r="8" spans="1:12" ht="11.25" customHeight="1" x14ac:dyDescent="0.2">
      <c r="A8" s="12"/>
      <c r="B8" s="12"/>
      <c r="C8" s="12"/>
      <c r="D8" s="12"/>
      <c r="E8" s="12"/>
      <c r="F8" s="12"/>
      <c r="G8" s="13"/>
      <c r="H8" s="13"/>
      <c r="I8" s="13"/>
      <c r="J8" s="13"/>
      <c r="K8" s="13"/>
      <c r="L8" s="13"/>
    </row>
    <row r="9" spans="1:12" ht="11.25" customHeight="1" x14ac:dyDescent="0.2">
      <c r="A9" s="12"/>
      <c r="B9" s="12"/>
      <c r="C9" s="12"/>
      <c r="D9" s="12"/>
      <c r="E9" s="12"/>
      <c r="F9" s="15"/>
      <c r="G9" s="13"/>
      <c r="H9" s="13"/>
      <c r="I9" s="13"/>
      <c r="J9" s="13"/>
      <c r="K9" s="13"/>
      <c r="L9" s="13"/>
    </row>
    <row r="10" spans="1:12" ht="11.25" customHeight="1" x14ac:dyDescent="0.25">
      <c r="A10" s="12"/>
      <c r="B10" s="16"/>
      <c r="C10" s="16"/>
      <c r="D10" s="16"/>
      <c r="E10" s="16"/>
      <c r="F10" s="16"/>
      <c r="G10" s="13"/>
      <c r="H10" s="13"/>
      <c r="I10" s="13"/>
      <c r="J10" s="13"/>
      <c r="K10" s="13"/>
      <c r="L10" s="13"/>
    </row>
    <row r="11" spans="1:12" ht="11.25" customHeight="1" x14ac:dyDescent="0.2">
      <c r="A11" s="12"/>
      <c r="B11" s="15"/>
      <c r="C11" s="17"/>
      <c r="D11" s="17"/>
      <c r="E11" s="17"/>
      <c r="F11" s="18"/>
      <c r="G11" s="13"/>
      <c r="H11" s="13"/>
      <c r="I11" s="13"/>
      <c r="J11" s="13"/>
      <c r="K11" s="13"/>
      <c r="L11" s="13"/>
    </row>
    <row r="12" spans="1:12" ht="21" customHeight="1" x14ac:dyDescent="0.25">
      <c r="A12" s="12"/>
      <c r="B12" s="19" t="s">
        <v>5</v>
      </c>
      <c r="C12" s="20"/>
      <c r="D12" s="21"/>
      <c r="E12" s="21"/>
      <c r="F12" s="22"/>
      <c r="G12" s="13"/>
      <c r="H12" s="13"/>
      <c r="I12" s="13"/>
      <c r="J12" s="13"/>
      <c r="K12" s="13"/>
      <c r="L12" s="13"/>
    </row>
    <row r="13" spans="1:12" ht="11.25" customHeight="1" x14ac:dyDescent="0.2">
      <c r="A13" s="12"/>
      <c r="B13" s="20"/>
      <c r="C13" s="20"/>
      <c r="D13" s="21"/>
      <c r="E13" s="21"/>
      <c r="F13" s="22"/>
      <c r="G13" s="13"/>
      <c r="H13" s="13"/>
      <c r="I13" s="13"/>
      <c r="J13" s="13"/>
      <c r="K13" s="13"/>
      <c r="L13" s="13"/>
    </row>
    <row r="14" spans="1:12" ht="11.25" customHeight="1" x14ac:dyDescent="0.2">
      <c r="A14" s="13"/>
      <c r="B14" s="13"/>
      <c r="C14" s="13"/>
      <c r="D14" s="13"/>
      <c r="E14" s="13"/>
      <c r="F14" s="13"/>
      <c r="G14" s="13"/>
      <c r="H14" s="13"/>
      <c r="I14" s="13"/>
      <c r="J14" s="13"/>
      <c r="K14" s="13"/>
      <c r="L14" s="13"/>
    </row>
    <row r="15" spans="1:12" ht="11.25" customHeight="1" x14ac:dyDescent="0.2">
      <c r="A15" s="13"/>
      <c r="B15" s="13"/>
      <c r="C15" s="13"/>
      <c r="D15" s="13"/>
      <c r="E15" s="13"/>
      <c r="F15" s="13"/>
      <c r="G15" s="13"/>
      <c r="H15" s="13"/>
      <c r="I15" s="13"/>
      <c r="J15" s="13"/>
      <c r="K15" s="13"/>
      <c r="L15" s="13"/>
    </row>
    <row r="16" spans="1:12" ht="5.25" customHeight="1" x14ac:dyDescent="0.2">
      <c r="A16" s="13"/>
      <c r="B16" s="13"/>
      <c r="C16" s="13"/>
      <c r="D16" s="13"/>
      <c r="E16" s="13"/>
      <c r="F16" s="13"/>
      <c r="G16" s="13"/>
      <c r="H16" s="13"/>
      <c r="I16" s="13"/>
      <c r="J16" s="13"/>
      <c r="K16" s="13"/>
      <c r="L16" s="13"/>
    </row>
    <row r="17" spans="1:12" ht="12.75" x14ac:dyDescent="0.2">
      <c r="A17" s="13"/>
      <c r="B17" s="23" t="s">
        <v>1</v>
      </c>
      <c r="C17" s="13"/>
      <c r="D17" s="13"/>
      <c r="E17" s="13"/>
      <c r="F17" s="13"/>
      <c r="G17" s="13"/>
      <c r="H17" s="13"/>
      <c r="I17" s="13"/>
      <c r="J17" s="13"/>
      <c r="K17" s="13"/>
      <c r="L17" s="13"/>
    </row>
    <row r="18" spans="1:12" ht="5.25" customHeight="1" x14ac:dyDescent="0.25">
      <c r="A18" s="13"/>
      <c r="B18" s="16"/>
      <c r="C18" s="13"/>
      <c r="D18" s="13"/>
      <c r="E18" s="13"/>
      <c r="F18" s="13"/>
      <c r="G18" s="13"/>
      <c r="H18" s="13"/>
      <c r="I18" s="13"/>
      <c r="J18" s="13"/>
      <c r="K18" s="13"/>
      <c r="L18" s="13"/>
    </row>
    <row r="19" spans="1:12" s="24" customFormat="1" ht="11.25" customHeight="1" x14ac:dyDescent="0.2">
      <c r="B19" s="25" t="s">
        <v>2</v>
      </c>
      <c r="C19" s="26"/>
      <c r="D19" s="27"/>
      <c r="E19" s="27" t="s">
        <v>3</v>
      </c>
      <c r="F19" s="27"/>
      <c r="G19" s="28" t="s">
        <v>4</v>
      </c>
    </row>
    <row r="20" spans="1:12" ht="3.75" customHeight="1" x14ac:dyDescent="0.2">
      <c r="A20" s="13"/>
      <c r="B20" s="29"/>
      <c r="C20" s="20"/>
      <c r="D20" s="21"/>
      <c r="E20" s="21"/>
      <c r="F20" s="21"/>
      <c r="G20" s="22"/>
      <c r="H20" s="13"/>
      <c r="I20" s="13"/>
      <c r="J20" s="13"/>
      <c r="K20" s="13"/>
      <c r="L20" s="13"/>
    </row>
    <row r="21" spans="1:12" ht="11.25" customHeight="1" x14ac:dyDescent="0.2">
      <c r="A21" s="13"/>
      <c r="B21" s="20" t="s">
        <v>270</v>
      </c>
      <c r="C21" s="20"/>
      <c r="D21" s="21"/>
      <c r="E21" s="21" t="s">
        <v>228</v>
      </c>
      <c r="F21" s="21"/>
      <c r="G21" s="295" t="s">
        <v>229</v>
      </c>
      <c r="H21" s="13"/>
      <c r="I21" s="13"/>
      <c r="J21" s="13"/>
      <c r="K21" s="13"/>
      <c r="L21" s="13"/>
    </row>
    <row r="22" spans="1:12" ht="11.25" customHeight="1" x14ac:dyDescent="0.2">
      <c r="B22" s="20" t="s">
        <v>290</v>
      </c>
      <c r="C22" s="20"/>
      <c r="D22" s="21"/>
      <c r="E22" s="21" t="s">
        <v>293</v>
      </c>
      <c r="F22" s="21"/>
      <c r="G22" s="295" t="s">
        <v>294</v>
      </c>
    </row>
    <row r="23" spans="1:12" ht="11.25" customHeight="1" x14ac:dyDescent="0.2">
      <c r="B23" s="20" t="s">
        <v>291</v>
      </c>
      <c r="E23" s="21" t="s">
        <v>292</v>
      </c>
      <c r="G23" s="295" t="s">
        <v>295</v>
      </c>
    </row>
  </sheetData>
  <phoneticPr fontId="3" type="noConversion"/>
  <hyperlinks>
    <hyperlink ref="G21" r:id="rId1"/>
    <hyperlink ref="G22" r:id="rId2"/>
    <hyperlink ref="G23" r:id="rId3"/>
  </hyperlinks>
  <pageMargins left="0.75" right="0.75" top="1" bottom="1" header="0.5" footer="0.5"/>
  <pageSetup orientation="landscape" r:id="rId4"/>
  <headerFooter alignWithMargins="0"/>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FO323"/>
  <sheetViews>
    <sheetView showGridLines="0" zoomScale="85" zoomScaleNormal="85" zoomScaleSheetLayoutView="55" workbookViewId="0">
      <pane xSplit="7" ySplit="4" topLeftCell="BF5" activePane="bottomRight" state="frozen"/>
      <selection pane="topRight" activeCell="H1" sqref="H1"/>
      <selection pane="bottomLeft" activeCell="A5" sqref="A5"/>
      <selection pane="bottomRight" activeCell="BF5" sqref="BF5"/>
    </sheetView>
  </sheetViews>
  <sheetFormatPr defaultColWidth="9.140625" defaultRowHeight="12.75" outlineLevelRow="1" outlineLevelCol="3" x14ac:dyDescent="0.2"/>
  <cols>
    <col min="1" max="1" width="3.140625" style="2" customWidth="1"/>
    <col min="2" max="2" width="23.42578125" style="2" customWidth="1"/>
    <col min="3" max="3" width="14.5703125" style="2" customWidth="1"/>
    <col min="4" max="7" width="8.7109375" style="2" hidden="1" customWidth="1" outlineLevel="1"/>
    <col min="8" max="8" width="8.7109375" style="2" hidden="1" customWidth="1" collapsed="1"/>
    <col min="9" max="11" width="8.7109375" style="2" hidden="1" customWidth="1" outlineLevel="1"/>
    <col min="12" max="12" width="9.5703125" style="2" hidden="1" customWidth="1" outlineLevel="1"/>
    <col min="13" max="13" width="8.7109375" style="2" hidden="1" customWidth="1" collapsed="1"/>
    <col min="14" max="15" width="8.7109375" style="2" hidden="1" customWidth="1" outlineLevel="1"/>
    <col min="16" max="16" width="9.42578125" style="2" hidden="1" customWidth="1" outlineLevel="1"/>
    <col min="17" max="17" width="8.7109375" style="2" hidden="1" customWidth="1" outlineLevel="1"/>
    <col min="18" max="18" width="8.7109375" style="2" hidden="1" customWidth="1" collapsed="1"/>
    <col min="19" max="19" width="9.28515625" style="2" hidden="1" customWidth="1" outlineLevel="1"/>
    <col min="20" max="22" width="8.7109375" style="2" hidden="1" customWidth="1" outlineLevel="1"/>
    <col min="23" max="23" width="9.42578125" style="2" hidden="1" customWidth="1" collapsed="1"/>
    <col min="24" max="24" width="9" style="2" hidden="1" customWidth="1" outlineLevel="1"/>
    <col min="25" max="27" width="8.7109375" style="2" hidden="1" customWidth="1" outlineLevel="1"/>
    <col min="28" max="28" width="9.28515625" style="2" hidden="1" customWidth="1" collapsed="1"/>
    <col min="29" max="32" width="8.7109375" style="2" hidden="1" customWidth="1" outlineLevel="1"/>
    <col min="33" max="33" width="8.7109375" style="2" hidden="1" customWidth="1" collapsed="1"/>
    <col min="34" max="37" width="8.7109375" style="2" hidden="1" customWidth="1" outlineLevel="1"/>
    <col min="38" max="38" width="9.5703125" style="2" hidden="1" customWidth="1" collapsed="1"/>
    <col min="39" max="42" width="8.7109375" style="2" hidden="1" customWidth="1" outlineLevel="1"/>
    <col min="43" max="43" width="8.7109375" style="2" hidden="1" customWidth="1" collapsed="1"/>
    <col min="44" max="47" width="8.7109375" style="2" hidden="1" customWidth="1" outlineLevel="1"/>
    <col min="48" max="48" width="8.7109375" style="2" hidden="1" customWidth="1" collapsed="1"/>
    <col min="49" max="52" width="9.42578125" style="2" hidden="1" customWidth="1" outlineLevel="1"/>
    <col min="53" max="53" width="9.42578125" style="2" hidden="1" customWidth="1" collapsed="1"/>
    <col min="54" max="57" width="9.42578125" style="2" hidden="1" customWidth="1" outlineLevel="1"/>
    <col min="58" max="58" width="9.42578125" style="2" customWidth="1" collapsed="1"/>
    <col min="59" max="62" width="9.42578125" style="2" hidden="1" customWidth="1" outlineLevel="1"/>
    <col min="63" max="63" width="9.42578125" style="2" customWidth="1" collapsed="1"/>
    <col min="64" max="67" width="9.42578125" style="2" hidden="1" customWidth="1" outlineLevel="3"/>
    <col min="68" max="68" width="10.85546875" style="2" customWidth="1" collapsed="1"/>
    <col min="69" max="72" width="9.42578125" style="2" hidden="1" customWidth="1" outlineLevel="1"/>
    <col min="73" max="73" width="10.5703125" style="2" customWidth="1" collapsed="1"/>
    <col min="74" max="74" width="11" style="2" customWidth="1" outlineLevel="1"/>
    <col min="75" max="77" width="9.42578125" style="2" customWidth="1" outlineLevel="1"/>
    <col min="78" max="78" width="9.42578125" style="2" customWidth="1"/>
    <col min="79" max="82" width="9.42578125" style="2" customWidth="1" outlineLevel="1"/>
    <col min="83" max="83" width="9.42578125" style="2" customWidth="1"/>
    <col min="84" max="84" width="14.5703125" style="2" hidden="1" customWidth="1" outlineLevel="1"/>
    <col min="85" max="87" width="9.42578125" style="2" hidden="1" customWidth="1" outlineLevel="1"/>
    <col min="88" max="88" width="9.42578125" style="2" customWidth="1" collapsed="1"/>
    <col min="89" max="92" width="9.42578125" style="2" hidden="1" customWidth="1" outlineLevel="1"/>
    <col min="93" max="93" width="9.42578125" style="2" hidden="1" customWidth="1" outlineLevel="1" collapsed="1"/>
    <col min="94" max="97" width="9.42578125" style="2" hidden="1" customWidth="1" outlineLevel="2"/>
    <col min="98" max="98" width="9.42578125" style="2" hidden="1" customWidth="1" outlineLevel="1" collapsed="1"/>
    <col min="99" max="102" width="9.42578125" style="2" hidden="1" customWidth="1" outlineLevel="2"/>
    <col min="103" max="103" width="9.42578125" style="2" hidden="1" customWidth="1" outlineLevel="1" collapsed="1"/>
    <col min="104" max="104" width="2" style="31" hidden="1" customWidth="1" outlineLevel="1"/>
    <col min="105" max="105" width="9.7109375" style="5" bestFit="1" customWidth="1" collapsed="1"/>
    <col min="106" max="107" width="8.7109375" style="5" customWidth="1"/>
    <col min="108" max="108" width="9.42578125" style="5" customWidth="1"/>
    <col min="109" max="109" width="12.5703125" style="731" customWidth="1"/>
    <col min="110" max="110" width="10.5703125" style="5" customWidth="1"/>
    <col min="111" max="111" width="10.42578125" style="5" customWidth="1"/>
    <col min="112" max="112" width="8.7109375" style="5" customWidth="1"/>
    <col min="113" max="113" width="9.28515625" style="5" customWidth="1"/>
    <col min="114" max="115" width="9.140625" style="5" customWidth="1"/>
    <col min="116" max="116" width="9.42578125" style="5" customWidth="1"/>
    <col min="117" max="118" width="9.140625" style="5" customWidth="1"/>
    <col min="119" max="124" width="9.140625" hidden="1" customWidth="1" outlineLevel="1"/>
    <col min="125" max="125" width="9.140625" style="2" customWidth="1" collapsed="1"/>
    <col min="126" max="126" width="9.140625" style="2" customWidth="1"/>
    <col min="127" max="127" width="9.140625" style="5" customWidth="1"/>
    <col min="128" max="128" width="9.140625" style="5"/>
    <col min="129" max="129" width="18.5703125" style="5" bestFit="1" customWidth="1"/>
    <col min="130" max="132" width="13.140625" style="5" customWidth="1"/>
    <col min="133" max="133" width="14.7109375" style="5" customWidth="1"/>
    <col min="134" max="16384" width="9.140625" style="5"/>
  </cols>
  <sheetData>
    <row r="1" spans="1:137" x14ac:dyDescent="0.2">
      <c r="A1" s="43" t="s">
        <v>34</v>
      </c>
      <c r="B1" s="43"/>
      <c r="C1" s="43"/>
      <c r="D1" s="3"/>
      <c r="E1" s="75"/>
      <c r="F1" s="75"/>
      <c r="G1" s="75"/>
      <c r="H1" s="76"/>
      <c r="I1" s="626"/>
      <c r="J1" s="626"/>
      <c r="K1" s="626"/>
      <c r="L1" s="626"/>
      <c r="M1" s="627"/>
      <c r="N1" s="628"/>
      <c r="O1" s="293"/>
      <c r="P1" s="293"/>
      <c r="Q1" s="293"/>
      <c r="R1" s="293"/>
      <c r="S1" s="293"/>
      <c r="T1" s="293"/>
      <c r="U1" s="293"/>
      <c r="V1" s="293"/>
      <c r="W1" s="629"/>
      <c r="X1" s="629"/>
      <c r="Y1" s="626"/>
      <c r="Z1" s="626"/>
      <c r="AA1" s="630"/>
      <c r="AB1" s="471"/>
      <c r="AC1" s="471"/>
      <c r="AD1" s="471"/>
      <c r="AE1" s="471"/>
      <c r="AF1" s="471"/>
      <c r="AG1" s="471"/>
      <c r="AH1" s="471"/>
      <c r="AI1" s="471"/>
      <c r="AJ1" s="471"/>
      <c r="AK1" s="471"/>
      <c r="AL1" s="471"/>
      <c r="AM1" s="471"/>
      <c r="AN1" s="471"/>
      <c r="AO1" s="471"/>
      <c r="AP1" s="471"/>
      <c r="AQ1" s="631"/>
      <c r="AR1" s="631"/>
      <c r="AS1" s="632"/>
      <c r="AT1" s="632"/>
      <c r="AU1" s="632"/>
      <c r="AV1" s="632"/>
      <c r="AW1" s="632"/>
      <c r="AX1" s="632"/>
      <c r="AY1" s="632"/>
      <c r="AZ1" s="632"/>
      <c r="BA1" s="633"/>
      <c r="BB1" s="631"/>
      <c r="BC1" s="631"/>
      <c r="BD1" s="631"/>
      <c r="BE1" s="631"/>
      <c r="BF1" s="631"/>
      <c r="BG1" s="631"/>
      <c r="BH1" s="631"/>
      <c r="BI1" s="631"/>
      <c r="BJ1" s="471"/>
      <c r="BK1" s="471"/>
      <c r="BL1" s="631"/>
      <c r="BM1" s="634"/>
      <c r="BN1" s="631"/>
      <c r="BO1" s="635"/>
      <c r="BP1" s="471"/>
      <c r="BQ1" s="471"/>
      <c r="BR1" s="471"/>
      <c r="BS1" s="471"/>
      <c r="BT1" s="471"/>
      <c r="BU1" s="471"/>
      <c r="BV1" s="471"/>
      <c r="BW1" s="471"/>
      <c r="BX1" s="471"/>
      <c r="BY1" s="471"/>
      <c r="BZ1" s="471"/>
      <c r="CA1" s="471"/>
      <c r="CB1" s="471"/>
      <c r="CC1" s="471"/>
      <c r="CD1" s="471"/>
      <c r="CE1" s="471"/>
      <c r="CF1" s="471"/>
      <c r="CG1" s="471"/>
      <c r="CH1" s="471"/>
      <c r="CI1" s="471"/>
      <c r="CJ1" s="471"/>
      <c r="CK1" s="626"/>
      <c r="CL1" s="626"/>
      <c r="CM1" s="626"/>
      <c r="CN1" s="626"/>
      <c r="CO1" s="626"/>
      <c r="CP1" s="626"/>
      <c r="CQ1" s="626"/>
      <c r="CR1" s="626"/>
      <c r="CS1" s="626"/>
      <c r="CT1" s="626"/>
      <c r="CU1" s="626"/>
      <c r="CV1" s="626"/>
      <c r="CW1" s="626"/>
      <c r="CX1" s="626"/>
      <c r="CY1" s="626"/>
      <c r="CZ1" s="626"/>
      <c r="DA1" s="765"/>
      <c r="DB1" s="766"/>
      <c r="DC1" s="766"/>
      <c r="DD1" s="765"/>
      <c r="DE1" s="734"/>
      <c r="DF1" s="765"/>
      <c r="DG1" s="766"/>
      <c r="DH1" s="766"/>
      <c r="DI1" s="765"/>
      <c r="DJ1" s="765"/>
      <c r="DK1" s="765"/>
      <c r="DL1" s="765"/>
      <c r="DM1" s="765"/>
      <c r="DN1" s="765"/>
      <c r="DU1" s="43"/>
      <c r="DV1" s="43"/>
      <c r="DW1" s="765"/>
      <c r="DX1" s="765"/>
      <c r="DY1" s="765"/>
      <c r="DZ1" s="765"/>
      <c r="EA1" s="765"/>
    </row>
    <row r="2" spans="1:137" x14ac:dyDescent="0.2">
      <c r="A2" s="418"/>
      <c r="B2" s="418"/>
      <c r="C2" s="418"/>
      <c r="D2" s="146"/>
      <c r="E2" s="146"/>
      <c r="F2" s="146"/>
      <c r="G2" s="146"/>
      <c r="H2" s="146"/>
      <c r="I2" s="146"/>
      <c r="J2" s="146"/>
      <c r="K2" s="146"/>
      <c r="L2" s="146"/>
      <c r="M2" s="146"/>
      <c r="N2" s="146"/>
      <c r="O2" s="146"/>
      <c r="P2" s="146"/>
      <c r="Q2" s="146"/>
      <c r="R2" s="146"/>
      <c r="S2" s="146"/>
      <c r="T2" s="146"/>
      <c r="U2" s="146"/>
      <c r="V2" s="146"/>
      <c r="W2" s="146"/>
      <c r="X2" s="146"/>
      <c r="Y2" s="146"/>
      <c r="Z2" s="146"/>
      <c r="AA2" s="146"/>
      <c r="AB2" s="471"/>
      <c r="AC2" s="471"/>
      <c r="AD2" s="471"/>
      <c r="AE2" s="471"/>
      <c r="AF2" s="471"/>
      <c r="AG2" s="471"/>
      <c r="AH2" s="471"/>
      <c r="AI2" s="471"/>
      <c r="AJ2" s="471"/>
      <c r="AK2" s="471"/>
      <c r="AL2" s="878"/>
      <c r="AM2" s="878"/>
      <c r="AN2" s="878"/>
      <c r="AO2" s="878"/>
      <c r="AP2" s="878"/>
      <c r="AQ2" s="879"/>
      <c r="AR2" s="879"/>
      <c r="AS2" s="632"/>
      <c r="AT2" s="632"/>
      <c r="AU2" s="632"/>
      <c r="AV2" s="632"/>
      <c r="AW2" s="632"/>
      <c r="AX2" s="632"/>
      <c r="AY2" s="880"/>
      <c r="AZ2" s="632"/>
      <c r="BA2" s="632"/>
      <c r="BB2" s="631"/>
      <c r="BC2" s="881"/>
      <c r="BD2" s="881"/>
      <c r="BE2" s="882"/>
      <c r="BF2" s="631"/>
      <c r="BG2" s="883"/>
      <c r="BH2" s="631"/>
      <c r="BI2" s="631"/>
      <c r="BJ2" s="884"/>
      <c r="BK2" s="631"/>
      <c r="BL2" s="631"/>
      <c r="BM2" s="885"/>
      <c r="BN2" s="471"/>
      <c r="BO2" s="635"/>
      <c r="BP2" s="631"/>
      <c r="BQ2" s="635"/>
      <c r="BR2" s="635"/>
      <c r="BS2" s="471"/>
      <c r="BT2" s="886"/>
      <c r="BU2" s="471"/>
      <c r="BV2" s="471"/>
      <c r="BW2" s="471"/>
      <c r="BX2" s="471"/>
      <c r="BY2" s="471"/>
      <c r="BZ2" s="471"/>
      <c r="CA2" s="471"/>
      <c r="CB2" s="471"/>
      <c r="CC2" s="471"/>
      <c r="CD2" s="471"/>
      <c r="CE2" s="471"/>
      <c r="CF2" s="471"/>
      <c r="CG2" s="471"/>
      <c r="CH2" s="471"/>
      <c r="CI2" s="471"/>
      <c r="CJ2" s="471"/>
      <c r="CK2" s="471"/>
      <c r="CL2" s="471"/>
      <c r="CM2" s="471"/>
      <c r="CN2" s="471"/>
      <c r="CO2" s="471"/>
      <c r="CP2" s="471"/>
      <c r="CQ2" s="471"/>
      <c r="CR2" s="471"/>
      <c r="CS2" s="471"/>
      <c r="CT2" s="471"/>
      <c r="CU2" s="471"/>
      <c r="CV2" s="471"/>
      <c r="CW2" s="471"/>
      <c r="CX2" s="471"/>
      <c r="CY2" s="471"/>
      <c r="CZ2" s="626"/>
      <c r="DA2" s="730"/>
      <c r="DB2" s="767"/>
      <c r="DC2" s="767"/>
      <c r="DD2" s="730"/>
      <c r="DF2" s="730"/>
      <c r="DG2" s="767"/>
      <c r="DH2" s="767"/>
      <c r="DI2" s="730"/>
      <c r="DJ2" s="730"/>
      <c r="DK2" s="730"/>
      <c r="DL2" s="730"/>
      <c r="DM2" s="730"/>
      <c r="DN2" s="730"/>
      <c r="DU2" s="418"/>
      <c r="DV2" s="418"/>
      <c r="DW2" s="730"/>
      <c r="DX2" s="730"/>
      <c r="DY2" s="730"/>
      <c r="DZ2" s="730"/>
      <c r="EA2" s="730"/>
    </row>
    <row r="3" spans="1:137" x14ac:dyDescent="0.2">
      <c r="A3" s="416"/>
      <c r="B3" s="416"/>
      <c r="C3" s="416"/>
      <c r="D3" s="887"/>
      <c r="E3" s="887"/>
      <c r="F3" s="887"/>
      <c r="G3" s="887"/>
      <c r="H3" s="887"/>
      <c r="I3" s="887"/>
      <c r="J3" s="887"/>
      <c r="K3" s="887"/>
      <c r="L3" s="887"/>
      <c r="M3" s="887"/>
      <c r="N3" s="887"/>
      <c r="O3" s="887"/>
      <c r="P3" s="887"/>
      <c r="Q3" s="887"/>
      <c r="R3" s="887"/>
      <c r="S3" s="887"/>
      <c r="T3" s="887"/>
      <c r="U3" s="888"/>
      <c r="V3" s="888"/>
      <c r="W3" s="888"/>
      <c r="X3" s="887"/>
      <c r="Y3" s="887"/>
      <c r="Z3" s="887"/>
      <c r="AA3" s="889"/>
      <c r="AB3" s="635"/>
      <c r="AC3" s="635"/>
      <c r="AD3" s="635"/>
      <c r="AE3" s="635"/>
      <c r="AF3" s="635"/>
      <c r="AG3" s="635"/>
      <c r="AH3" s="471"/>
      <c r="AI3" s="471"/>
      <c r="AJ3" s="471"/>
      <c r="AK3" s="471"/>
      <c r="AL3" s="471"/>
      <c r="AM3" s="471"/>
      <c r="AN3" s="471"/>
      <c r="AO3" s="471"/>
      <c r="AP3" s="471"/>
      <c r="AQ3" s="631"/>
      <c r="AR3" s="890"/>
      <c r="AS3" s="890"/>
      <c r="AT3" s="890"/>
      <c r="AU3" s="890"/>
      <c r="AV3" s="890"/>
      <c r="AW3" s="890"/>
      <c r="AX3" s="890"/>
      <c r="AY3" s="890"/>
      <c r="AZ3" s="890"/>
      <c r="BA3" s="890"/>
      <c r="BB3" s="890"/>
      <c r="BC3" s="881"/>
      <c r="BD3" s="890"/>
      <c r="BE3" s="890"/>
      <c r="BF3" s="890"/>
      <c r="BG3" s="883"/>
      <c r="BH3" s="631"/>
      <c r="BI3" s="891"/>
      <c r="BJ3" s="892"/>
      <c r="BK3" s="891"/>
      <c r="BL3" s="631"/>
      <c r="BM3" s="631"/>
      <c r="BN3" s="893"/>
      <c r="BO3" s="893"/>
      <c r="BP3" s="894"/>
      <c r="BQ3" s="471"/>
      <c r="BR3" s="471"/>
      <c r="BS3" s="893"/>
      <c r="BT3" s="895"/>
      <c r="BU3" s="896"/>
      <c r="BV3" s="897"/>
      <c r="BW3" s="897"/>
      <c r="BX3" s="897"/>
      <c r="BY3" s="896"/>
      <c r="BZ3" s="897"/>
      <c r="CA3" s="897"/>
      <c r="CB3" s="897"/>
      <c r="CC3" s="897"/>
      <c r="CD3" s="896"/>
      <c r="CE3" s="897"/>
      <c r="CF3" s="897"/>
      <c r="CG3" s="897"/>
      <c r="CH3" s="897"/>
      <c r="CI3" s="896"/>
      <c r="CJ3" s="897"/>
      <c r="CK3" s="897"/>
      <c r="CL3" s="897"/>
      <c r="CM3" s="897"/>
      <c r="CN3" s="896"/>
      <c r="CO3" s="897"/>
      <c r="CP3" s="897"/>
      <c r="CQ3" s="897"/>
      <c r="CR3" s="897"/>
      <c r="CS3" s="897"/>
      <c r="CT3" s="897"/>
      <c r="CU3" s="897"/>
      <c r="CV3" s="897"/>
      <c r="CW3" s="897"/>
      <c r="CX3" s="897"/>
      <c r="CY3" s="897"/>
      <c r="CZ3" s="416"/>
      <c r="DA3" s="733"/>
      <c r="DB3" s="7"/>
      <c r="DC3" s="7"/>
      <c r="DD3" s="733"/>
      <c r="DE3" s="768"/>
      <c r="DF3" s="733"/>
      <c r="DG3" s="7"/>
      <c r="DH3" s="7"/>
      <c r="DI3" s="733"/>
      <c r="DJ3" s="733"/>
      <c r="DK3" s="733"/>
      <c r="DL3" s="733"/>
      <c r="DM3" s="733"/>
      <c r="DN3" s="733"/>
      <c r="DU3" s="416"/>
      <c r="DV3" s="416"/>
      <c r="DW3" s="733"/>
      <c r="DX3" s="733"/>
      <c r="DY3" s="733"/>
      <c r="DZ3" s="733"/>
      <c r="EA3" s="733"/>
    </row>
    <row r="4" spans="1:137" x14ac:dyDescent="0.2">
      <c r="A4" s="79" t="s">
        <v>35</v>
      </c>
      <c r="B4" s="79"/>
      <c r="C4" s="80"/>
      <c r="D4" s="58">
        <v>37771</v>
      </c>
      <c r="E4" s="58">
        <f>D4+90</f>
        <v>37861</v>
      </c>
      <c r="F4" s="58">
        <f>E4+90</f>
        <v>37951</v>
      </c>
      <c r="G4" s="58">
        <f>F4+90</f>
        <v>38041</v>
      </c>
      <c r="H4" s="81" t="s">
        <v>36</v>
      </c>
      <c r="I4" s="58">
        <f>G4+90</f>
        <v>38131</v>
      </c>
      <c r="J4" s="58">
        <f>I4+90</f>
        <v>38221</v>
      </c>
      <c r="K4" s="58">
        <f>J4+90</f>
        <v>38311</v>
      </c>
      <c r="L4" s="58">
        <f>K4+90</f>
        <v>38401</v>
      </c>
      <c r="M4" s="59" t="s">
        <v>37</v>
      </c>
      <c r="N4" s="58">
        <f>L4+90</f>
        <v>38491</v>
      </c>
      <c r="O4" s="82">
        <f>+N4+90</f>
        <v>38581</v>
      </c>
      <c r="P4" s="82">
        <f>+O4+90</f>
        <v>38671</v>
      </c>
      <c r="Q4" s="82">
        <f>+P4+90</f>
        <v>38761</v>
      </c>
      <c r="R4" s="81" t="s">
        <v>38</v>
      </c>
      <c r="S4" s="58">
        <f>Q4+90</f>
        <v>38851</v>
      </c>
      <c r="T4" s="82">
        <f>+S4+90</f>
        <v>38941</v>
      </c>
      <c r="U4" s="82">
        <f>+T4+90</f>
        <v>39031</v>
      </c>
      <c r="V4" s="82">
        <f>+U4+90</f>
        <v>39121</v>
      </c>
      <c r="W4" s="81" t="s">
        <v>39</v>
      </c>
      <c r="X4" s="58">
        <f>V4+90</f>
        <v>39211</v>
      </c>
      <c r="Y4" s="82">
        <f>+X4+90</f>
        <v>39301</v>
      </c>
      <c r="Z4" s="82">
        <f>+Y4+90</f>
        <v>39391</v>
      </c>
      <c r="AA4" s="82">
        <f>+Z4+90</f>
        <v>39481</v>
      </c>
      <c r="AB4" s="81" t="s">
        <v>40</v>
      </c>
      <c r="AC4" s="58">
        <f>AA4+90</f>
        <v>39571</v>
      </c>
      <c r="AD4" s="82">
        <f>+AC4+90</f>
        <v>39661</v>
      </c>
      <c r="AE4" s="82">
        <f>+AD4+120</f>
        <v>39781</v>
      </c>
      <c r="AF4" s="82">
        <f>+AE4+90</f>
        <v>39871</v>
      </c>
      <c r="AG4" s="81" t="s">
        <v>41</v>
      </c>
      <c r="AH4" s="58">
        <f>AF4+90</f>
        <v>39961</v>
      </c>
      <c r="AI4" s="82">
        <f>+AH4+90</f>
        <v>40051</v>
      </c>
      <c r="AJ4" s="82">
        <f>+AI4+90</f>
        <v>40141</v>
      </c>
      <c r="AK4" s="82">
        <v>40219</v>
      </c>
      <c r="AL4" s="81" t="s">
        <v>222</v>
      </c>
      <c r="AM4" s="82">
        <f>+AK4+90</f>
        <v>40309</v>
      </c>
      <c r="AN4" s="82">
        <f>+AM4+90</f>
        <v>40399</v>
      </c>
      <c r="AO4" s="82">
        <f>+AN4+90</f>
        <v>40489</v>
      </c>
      <c r="AP4" s="82">
        <v>40585</v>
      </c>
      <c r="AQ4" s="81" t="s">
        <v>16</v>
      </c>
      <c r="AR4" s="82">
        <v>40674</v>
      </c>
      <c r="AS4" s="82">
        <v>40766</v>
      </c>
      <c r="AT4" s="82">
        <v>40858</v>
      </c>
      <c r="AU4" s="82">
        <v>40951</v>
      </c>
      <c r="AV4" s="81" t="s">
        <v>25</v>
      </c>
      <c r="AW4" s="82">
        <v>41041</v>
      </c>
      <c r="AX4" s="82">
        <v>41133</v>
      </c>
      <c r="AY4" s="82">
        <v>41225</v>
      </c>
      <c r="AZ4" s="82">
        <v>41318</v>
      </c>
      <c r="BA4" s="81" t="s">
        <v>6</v>
      </c>
      <c r="BB4" s="82">
        <v>41407</v>
      </c>
      <c r="BC4" s="82">
        <v>41499</v>
      </c>
      <c r="BD4" s="82">
        <v>41591</v>
      </c>
      <c r="BE4" s="82">
        <v>41684</v>
      </c>
      <c r="BF4" s="81" t="s">
        <v>119</v>
      </c>
      <c r="BG4" s="82">
        <v>41773</v>
      </c>
      <c r="BH4" s="82">
        <v>41865</v>
      </c>
      <c r="BI4" s="82">
        <v>41957</v>
      </c>
      <c r="BJ4" s="82">
        <v>42050</v>
      </c>
      <c r="BK4" s="81" t="s">
        <v>284</v>
      </c>
      <c r="BL4" s="82">
        <v>42139</v>
      </c>
      <c r="BM4" s="82">
        <v>42231</v>
      </c>
      <c r="BN4" s="82">
        <v>42323</v>
      </c>
      <c r="BO4" s="82">
        <v>42416</v>
      </c>
      <c r="BP4" s="81" t="s">
        <v>285</v>
      </c>
      <c r="BQ4" s="82">
        <v>42506</v>
      </c>
      <c r="BR4" s="82">
        <v>42598</v>
      </c>
      <c r="BS4" s="82">
        <v>42690</v>
      </c>
      <c r="BT4" s="82">
        <v>42783</v>
      </c>
      <c r="BU4" s="81" t="s">
        <v>289</v>
      </c>
      <c r="BV4" s="82">
        <v>42872</v>
      </c>
      <c r="BW4" s="82">
        <v>42964</v>
      </c>
      <c r="BX4" s="82">
        <v>43056</v>
      </c>
      <c r="BY4" s="82">
        <v>43149</v>
      </c>
      <c r="BZ4" s="81" t="s">
        <v>296</v>
      </c>
      <c r="CA4" s="82" t="s">
        <v>43</v>
      </c>
      <c r="CB4" s="82" t="s">
        <v>44</v>
      </c>
      <c r="CC4" s="82" t="s">
        <v>45</v>
      </c>
      <c r="CD4" s="82" t="s">
        <v>46</v>
      </c>
      <c r="CE4" s="81" t="s">
        <v>47</v>
      </c>
      <c r="CF4" s="82" t="s">
        <v>48</v>
      </c>
      <c r="CG4" s="82" t="s">
        <v>49</v>
      </c>
      <c r="CH4" s="82" t="s">
        <v>50</v>
      </c>
      <c r="CI4" s="82" t="s">
        <v>51</v>
      </c>
      <c r="CJ4" s="81" t="s">
        <v>52</v>
      </c>
      <c r="CK4" s="82" t="s">
        <v>53</v>
      </c>
      <c r="CL4" s="82" t="s">
        <v>54</v>
      </c>
      <c r="CM4" s="82" t="s">
        <v>55</v>
      </c>
      <c r="CN4" s="82" t="s">
        <v>56</v>
      </c>
      <c r="CO4" s="81" t="s">
        <v>57</v>
      </c>
      <c r="CP4" s="82" t="s">
        <v>18</v>
      </c>
      <c r="CQ4" s="82" t="s">
        <v>19</v>
      </c>
      <c r="CR4" s="82" t="s">
        <v>23</v>
      </c>
      <c r="CS4" s="82" t="s">
        <v>24</v>
      </c>
      <c r="CT4" s="81" t="s">
        <v>22</v>
      </c>
      <c r="CU4" s="82" t="s">
        <v>244</v>
      </c>
      <c r="CV4" s="82" t="s">
        <v>245</v>
      </c>
      <c r="CW4" s="82" t="s">
        <v>20</v>
      </c>
      <c r="CX4" s="82" t="s">
        <v>21</v>
      </c>
      <c r="CY4" s="81" t="s">
        <v>246</v>
      </c>
      <c r="CZ4" s="83"/>
      <c r="DA4" s="769"/>
      <c r="DB4" s="376"/>
      <c r="DC4" s="770"/>
      <c r="DD4" s="733"/>
      <c r="DE4" s="6"/>
      <c r="DF4" s="733"/>
      <c r="DG4" s="376"/>
      <c r="DH4" s="376"/>
      <c r="DI4" s="733"/>
      <c r="DJ4" s="733"/>
      <c r="DK4" s="733"/>
      <c r="DL4" s="733"/>
      <c r="DM4" s="733"/>
      <c r="DN4" s="733"/>
      <c r="DU4" s="78"/>
      <c r="DV4" s="78"/>
      <c r="DW4" s="733"/>
      <c r="DX4" s="733"/>
      <c r="DY4" s="733"/>
      <c r="DZ4" s="733"/>
      <c r="EA4" s="930"/>
      <c r="EB4" s="930"/>
      <c r="EC4" s="930"/>
      <c r="ED4" s="930"/>
      <c r="EF4" s="564"/>
    </row>
    <row r="5" spans="1:137" x14ac:dyDescent="0.2">
      <c r="A5" s="78" t="s">
        <v>58</v>
      </c>
      <c r="B5" s="78"/>
      <c r="C5" s="78"/>
      <c r="D5" s="84">
        <v>772.80200000000002</v>
      </c>
      <c r="E5" s="84">
        <v>911.06399999999996</v>
      </c>
      <c r="F5" s="84">
        <v>987.24800000000005</v>
      </c>
      <c r="G5" s="84">
        <v>872.12999999999988</v>
      </c>
      <c r="H5" s="85">
        <v>3543.2439999999997</v>
      </c>
      <c r="I5" s="84">
        <v>927.30499999999984</v>
      </c>
      <c r="J5" s="84">
        <v>1036.941</v>
      </c>
      <c r="K5" s="84">
        <v>1085.711</v>
      </c>
      <c r="L5" s="84">
        <v>1037.681</v>
      </c>
      <c r="M5" s="85">
        <v>4087.6379999999999</v>
      </c>
      <c r="N5" s="84">
        <v>1096.5349999999999</v>
      </c>
      <c r="O5" s="84">
        <v>1191.9590000000001</v>
      </c>
      <c r="P5" s="84">
        <v>1267.1000000000001</v>
      </c>
      <c r="Q5" s="84">
        <v>1047.9000000000001</v>
      </c>
      <c r="R5" s="85">
        <v>4603.5</v>
      </c>
      <c r="S5" s="84">
        <v>1155.9000000000001</v>
      </c>
      <c r="T5" s="84">
        <v>1417.5</v>
      </c>
      <c r="U5" s="84">
        <v>1500.8</v>
      </c>
      <c r="V5" s="84">
        <v>1142.1999999999998</v>
      </c>
      <c r="W5" s="85">
        <v>5216.3999999999996</v>
      </c>
      <c r="X5" s="84">
        <v>901.2</v>
      </c>
      <c r="Y5" s="84">
        <v>892.6</v>
      </c>
      <c r="Z5" s="84">
        <v>1094.8</v>
      </c>
      <c r="AA5" s="84">
        <v>884.4</v>
      </c>
      <c r="AB5" s="85">
        <v>3773</v>
      </c>
      <c r="AC5" s="84">
        <v>931.80000000000007</v>
      </c>
      <c r="AD5" s="84">
        <v>956.5</v>
      </c>
      <c r="AE5" s="84">
        <v>1031.2</v>
      </c>
      <c r="AF5" s="84">
        <v>735.1</v>
      </c>
      <c r="AG5" s="85">
        <v>3654.6</v>
      </c>
      <c r="AH5" s="84">
        <v>791.6</v>
      </c>
      <c r="AI5" s="84">
        <v>876.80000000000007</v>
      </c>
      <c r="AJ5" s="84">
        <v>987.69999999999993</v>
      </c>
      <c r="AK5" s="84">
        <v>708.7</v>
      </c>
      <c r="AL5" s="85">
        <v>3364.8</v>
      </c>
      <c r="AM5" s="84">
        <v>787.5</v>
      </c>
      <c r="AN5" s="84">
        <v>862.8</v>
      </c>
      <c r="AO5" s="84">
        <v>966.4</v>
      </c>
      <c r="AP5" s="84">
        <v>715.3</v>
      </c>
      <c r="AQ5" s="85">
        <f>SUM(AM5:AP5)</f>
        <v>3332</v>
      </c>
      <c r="AR5" s="84">
        <v>635.29999999999995</v>
      </c>
      <c r="AS5" s="84">
        <v>690.2</v>
      </c>
      <c r="AT5" s="86">
        <v>700.7</v>
      </c>
      <c r="AU5" s="84">
        <v>628.1</v>
      </c>
      <c r="AV5" s="85">
        <f>SUM(AR5:AU5)</f>
        <v>2654.3</v>
      </c>
      <c r="AW5" s="84">
        <v>634.79999999999995</v>
      </c>
      <c r="AX5" s="86">
        <v>698.5</v>
      </c>
      <c r="AY5" s="84">
        <v>766.9</v>
      </c>
      <c r="AZ5" s="84">
        <v>695.9</v>
      </c>
      <c r="BA5" s="85">
        <f>SUM(AW5:AZ5)</f>
        <v>2796.1</v>
      </c>
      <c r="BB5" s="84">
        <v>673.4</v>
      </c>
      <c r="BC5" s="84">
        <v>1459.8</v>
      </c>
      <c r="BD5" s="84">
        <v>1443.3</v>
      </c>
      <c r="BE5" s="84">
        <v>1291.2</v>
      </c>
      <c r="BF5" s="85">
        <f>SUM(BB5:BE5)</f>
        <v>4867.7</v>
      </c>
      <c r="BG5" s="84">
        <v>1526</v>
      </c>
      <c r="BH5" s="84">
        <v>1607.6</v>
      </c>
      <c r="BI5" s="84">
        <v>1541.5</v>
      </c>
      <c r="BJ5" s="84">
        <f>+'Pro-Forma Segments'!AF6</f>
        <v>1352.9</v>
      </c>
      <c r="BK5" s="85">
        <f>SUM(BG5:BJ5)</f>
        <v>6028</v>
      </c>
      <c r="BL5" s="84">
        <v>1631.3</v>
      </c>
      <c r="BM5" s="84">
        <v>1733.4</v>
      </c>
      <c r="BN5" s="84">
        <v>1640.5</v>
      </c>
      <c r="BO5" s="84">
        <v>1543.2</v>
      </c>
      <c r="BP5" s="85">
        <f>SUM(BL5:BO5)</f>
        <v>6548.4</v>
      </c>
      <c r="BQ5" s="84">
        <f>+'Pro-Forma Segments'!AM6</f>
        <v>1871.8</v>
      </c>
      <c r="BR5" s="84">
        <f>+'Pro-Forma Segments'!AN6</f>
        <v>2021.2</v>
      </c>
      <c r="BS5" s="84">
        <f>+'Pro-Forma Segments'!AO6</f>
        <v>1810.5</v>
      </c>
      <c r="BT5" s="84">
        <v>1628</v>
      </c>
      <c r="BU5" s="85">
        <f>SUM(BQ5:BT5)</f>
        <v>7331.5</v>
      </c>
      <c r="BV5" s="84">
        <f>+'Pro-Forma Segments'!AR6</f>
        <v>1935.5</v>
      </c>
      <c r="BW5" s="84">
        <f>+'Pro-Forma Segments'!AS6</f>
        <v>2084.5</v>
      </c>
      <c r="BX5" s="84">
        <f>+'Pro-Forma Segments'!AT6</f>
        <v>1799.1</v>
      </c>
      <c r="BY5" s="84">
        <f>+'Pro-Forma Segments'!AU6</f>
        <v>1765.9</v>
      </c>
      <c r="BZ5" s="85">
        <f>SUM(BV5:BY5)</f>
        <v>7585</v>
      </c>
      <c r="CA5" s="84">
        <f>+'Pro-Forma Segments'!AW6</f>
        <v>2070.6095102500003</v>
      </c>
      <c r="CB5" s="84">
        <f>+'Pro-Forma Segments'!AX6</f>
        <v>2257.2523620000002</v>
      </c>
      <c r="CC5" s="84">
        <f>+'Pro-Forma Segments'!AY6</f>
        <v>1974.6368984999999</v>
      </c>
      <c r="CD5" s="84">
        <f>+'Pro-Forma Segments'!AZ6</f>
        <v>1894.5926090000003</v>
      </c>
      <c r="CE5" s="85">
        <f>SUM(CA5:CD5)</f>
        <v>8197.0913797499998</v>
      </c>
      <c r="CF5" s="84">
        <f>+'Pro-Forma Segments'!BB6</f>
        <v>2208.4756818230617</v>
      </c>
      <c r="CG5" s="84">
        <f>+'Pro-Forma Segments'!BC6</f>
        <v>2407.1446621890905</v>
      </c>
      <c r="CH5" s="84">
        <f>+'Pro-Forma Segments'!BD6</f>
        <v>2097.5819310938327</v>
      </c>
      <c r="CI5" s="84">
        <f>+'Pro-Forma Segments'!BE6</f>
        <v>2011.6833135795055</v>
      </c>
      <c r="CJ5" s="85">
        <f>SUM(CF5:CI5)</f>
        <v>8724.8855886854908</v>
      </c>
      <c r="CK5" s="84">
        <f>+'Pro-Forma Segments'!BG6</f>
        <v>2329.3206465707162</v>
      </c>
      <c r="CL5" s="84">
        <f>+'Pro-Forma Segments'!BH6</f>
        <v>2538.5814536448197</v>
      </c>
      <c r="CM5" s="84">
        <f>+'Pro-Forma Segments'!BI6</f>
        <v>2206.42157064195</v>
      </c>
      <c r="CN5" s="84">
        <f>+'Pro-Forma Segments'!BJ6</f>
        <v>2115.4574547884181</v>
      </c>
      <c r="CO5" s="85">
        <f>SUM(CK5:CN5)</f>
        <v>9189.7811256459045</v>
      </c>
      <c r="CP5" s="84">
        <f>+'Pro-Forma Segments'!BL6</f>
        <v>2445.1824709788571</v>
      </c>
      <c r="CQ5" s="84">
        <f>+'Pro-Forma Segments'!BM6</f>
        <v>2664.6224707374972</v>
      </c>
      <c r="CR5" s="84">
        <f>+'Pro-Forma Segments'!BN6</f>
        <v>2311.2864379056987</v>
      </c>
      <c r="CS5" s="84">
        <f>+'Pro-Forma Segments'!BO6</f>
        <v>2215.4972803758837</v>
      </c>
      <c r="CT5" s="85">
        <f>SUM(CP5:CS5)</f>
        <v>9636.5886599979385</v>
      </c>
      <c r="CU5" s="84">
        <f>+'Pro-Forma Segments'!BQ6</f>
        <v>2556.733241728788</v>
      </c>
      <c r="CV5" s="84">
        <f>+'Pro-Forma Segments'!BR6</f>
        <v>2785.9671831758669</v>
      </c>
      <c r="CW5" s="84">
        <f>+'Pro-Forma Segments'!BS6</f>
        <v>2412.1111981157201</v>
      </c>
      <c r="CX5" s="84">
        <f>+'Pro-Forma Segments'!BT6</f>
        <v>2311.6680283704954</v>
      </c>
      <c r="CY5" s="85">
        <f>SUM(CU5:CX5)</f>
        <v>10066.47965139087</v>
      </c>
      <c r="CZ5" s="86"/>
      <c r="DA5" s="771"/>
      <c r="DB5" s="738"/>
      <c r="DC5" s="738"/>
      <c r="DD5" s="748"/>
      <c r="DE5" s="772"/>
      <c r="DF5" s="7"/>
      <c r="DG5" s="738"/>
      <c r="DH5" s="738"/>
      <c r="DI5" s="773"/>
      <c r="DJ5" s="733"/>
      <c r="DK5" s="733"/>
      <c r="DL5" s="733"/>
      <c r="DM5" s="733"/>
      <c r="DN5" s="733"/>
      <c r="DU5" s="78"/>
      <c r="DV5" s="89"/>
      <c r="DW5" s="739"/>
      <c r="DX5" s="739"/>
      <c r="DY5" s="739"/>
      <c r="DZ5" s="739"/>
      <c r="EA5" s="739"/>
      <c r="EB5" s="564"/>
      <c r="EC5" s="564"/>
      <c r="ED5" s="739"/>
      <c r="EG5" s="490"/>
    </row>
    <row r="6" spans="1:137" x14ac:dyDescent="0.2">
      <c r="A6" s="78"/>
      <c r="B6" s="48" t="s">
        <v>218</v>
      </c>
      <c r="C6" s="78"/>
      <c r="D6" s="90"/>
      <c r="E6" s="90"/>
      <c r="F6" s="90"/>
      <c r="G6" s="90"/>
      <c r="H6" s="91"/>
      <c r="I6" s="90">
        <v>0.09</v>
      </c>
      <c r="J6" s="90">
        <v>8.8164827059350512E-2</v>
      </c>
      <c r="K6" s="90">
        <v>5.9734818404291436E-2</v>
      </c>
      <c r="L6" s="90">
        <v>0.11</v>
      </c>
      <c r="M6" s="91">
        <v>0.09</v>
      </c>
      <c r="N6" s="90">
        <v>5.1422024037398706E-2</v>
      </c>
      <c r="O6" s="90">
        <v>3.184173448634002E-2</v>
      </c>
      <c r="P6" s="90">
        <v>0.06</v>
      </c>
      <c r="Q6" s="90">
        <v>2.4226549392346933E-2</v>
      </c>
      <c r="R6" s="91">
        <v>4.2640370752027881E-2</v>
      </c>
      <c r="S6" s="90">
        <v>7.4138718782346333E-2</v>
      </c>
      <c r="T6" s="90">
        <v>7.0000000000000007E-2</v>
      </c>
      <c r="U6" s="90">
        <v>0.04</v>
      </c>
      <c r="V6" s="90">
        <v>7.0000000000000007E-2</v>
      </c>
      <c r="W6" s="91">
        <v>0.06</v>
      </c>
      <c r="X6" s="90">
        <v>-0.02</v>
      </c>
      <c r="Y6" s="90">
        <v>-1.3892572731096536E-2</v>
      </c>
      <c r="Z6" s="90">
        <v>0.06</v>
      </c>
      <c r="AA6" s="90">
        <v>0</v>
      </c>
      <c r="AB6" s="91">
        <v>0.01</v>
      </c>
      <c r="AC6" s="90">
        <v>0.13989147712524205</v>
      </c>
      <c r="AD6" s="90">
        <v>5.3784412922810713E-2</v>
      </c>
      <c r="AE6" s="90">
        <v>5.6227377583418277E-3</v>
      </c>
      <c r="AF6" s="90">
        <v>-3.4641082898648159E-2</v>
      </c>
      <c r="AG6" s="91">
        <v>3.7756376363728368E-2</v>
      </c>
      <c r="AH6" s="90">
        <v>1.8641264234817392E-2</v>
      </c>
      <c r="AI6" s="90">
        <v>7.2039760712265116E-2</v>
      </c>
      <c r="AJ6" s="90">
        <v>-4.8945467628792871E-3</v>
      </c>
      <c r="AK6" s="90">
        <v>-0.02</v>
      </c>
      <c r="AL6" s="91">
        <v>2.1983915109422832E-2</v>
      </c>
      <c r="AM6" s="90">
        <v>0</v>
      </c>
      <c r="AN6" s="90">
        <v>0.02</v>
      </c>
      <c r="AO6" s="90">
        <v>2E-3</v>
      </c>
      <c r="AP6" s="90">
        <v>0.1</v>
      </c>
      <c r="AQ6" s="91">
        <v>0.03</v>
      </c>
      <c r="AR6" s="90">
        <v>0.02</v>
      </c>
      <c r="AS6" s="90">
        <v>0</v>
      </c>
      <c r="AT6" s="92">
        <v>-0.08</v>
      </c>
      <c r="AU6" s="92">
        <v>0.04</v>
      </c>
      <c r="AV6" s="91">
        <f>AV9-AV8-AV7</f>
        <v>-0.20339135654261697</v>
      </c>
      <c r="AW6" s="92">
        <f t="shared" ref="AW6:BE6" si="0">AW9-AW8-AW7</f>
        <v>-7.8702974972455486E-4</v>
      </c>
      <c r="AX6" s="92">
        <f t="shared" si="0"/>
        <v>1.2025499855114363E-2</v>
      </c>
      <c r="AY6" s="92">
        <f t="shared" si="0"/>
        <v>9.4476951619808736E-2</v>
      </c>
      <c r="AZ6" s="92">
        <f t="shared" si="0"/>
        <v>0.1079445948097435</v>
      </c>
      <c r="BA6" s="91">
        <f>BA9-BA8-BA7</f>
        <v>5.3422747993821185E-2</v>
      </c>
      <c r="BB6" s="92">
        <f t="shared" si="0"/>
        <v>6.0806553245116524E-2</v>
      </c>
      <c r="BC6" s="92">
        <f t="shared" si="0"/>
        <v>1.0899069434502504</v>
      </c>
      <c r="BD6" s="92">
        <f t="shared" si="0"/>
        <v>0.8819924370843657</v>
      </c>
      <c r="BE6" s="92">
        <f t="shared" si="0"/>
        <v>0.85543899985630123</v>
      </c>
      <c r="BF6" s="91">
        <f>BF9-BF8-BF7</f>
        <v>0.74088909552591109</v>
      </c>
      <c r="BG6" s="92">
        <f>BG9-BG8-BG7</f>
        <v>1.2661122661122661</v>
      </c>
      <c r="BH6" s="92">
        <f>BH9-BH8-BH7</f>
        <v>0.10124674612960671</v>
      </c>
      <c r="BI6" s="92">
        <f>BI9-BI8-BI7</f>
        <v>6.8038522829626524E-2</v>
      </c>
      <c r="BJ6" s="92">
        <f>BJ9-BJ8-BJ7</f>
        <v>4.7785006195786961E-2</v>
      </c>
      <c r="BK6" s="91">
        <f>+'Pro-Forma Segments'!AG7</f>
        <v>6.6677932090616121E-2</v>
      </c>
      <c r="BL6" s="92">
        <v>7.0000000000000007E-2</v>
      </c>
      <c r="BM6" s="131">
        <f>+'Pro-Forma Segments'!AI7</f>
        <v>9.1028365264991404E-2</v>
      </c>
      <c r="BN6" s="95">
        <f>+'Pro-Forma Segments'!AJ7</f>
        <v>5.6764190723321381E-2</v>
      </c>
      <c r="BO6" s="95">
        <f>+'Pro-Forma Segments'!AK7</f>
        <v>0.10520356271712618</v>
      </c>
      <c r="BP6" s="91">
        <f>+'Pro-Forma Segments'!AL7</f>
        <v>8.3148324485733241E-2</v>
      </c>
      <c r="BQ6" s="95">
        <f>+'Pro-Forma Segments'!AM7</f>
        <v>0.10087353644332737</v>
      </c>
      <c r="BR6" s="95">
        <f>+'Pro-Forma Segments'!AN7</f>
        <v>0.12449521172262605</v>
      </c>
      <c r="BS6" s="95">
        <f>+'Pro-Forma Segments'!AO7</f>
        <v>6.8698567509905453E-2</v>
      </c>
      <c r="BT6" s="95">
        <f>+'Pro-Forma Segments'!AP7</f>
        <v>7.3337605204136083E-2</v>
      </c>
      <c r="BU6" s="91">
        <f>+'Pro-Forma Segments'!AQ7</f>
        <v>9.2576750404835165E-2</v>
      </c>
      <c r="BV6" s="95">
        <f>+'Pro-Forma Segments'!AR7</f>
        <v>7.0190463460681321E-2</v>
      </c>
      <c r="BW6" s="95">
        <f>+'Pro-Forma Segments'!AS7</f>
        <v>7.3646501393842531E-2</v>
      </c>
      <c r="BX6" s="95">
        <f>+'Pro-Forma Segments'!AT7</f>
        <v>4.3014654586309847E-2</v>
      </c>
      <c r="BY6" s="95">
        <f>+'Pro-Forma Segments'!AU7</f>
        <v>9.9646552180856426E-2</v>
      </c>
      <c r="BZ6" s="91">
        <f>+'Pro-Forma Segments'!AV7</f>
        <v>7.0973121080527321E-2</v>
      </c>
      <c r="CA6" s="95">
        <f>+'Pro-Forma Segments'!AW7</f>
        <v>6.9805998579178574E-2</v>
      </c>
      <c r="CB6" s="95">
        <f>+'Pro-Forma Segments'!AX7</f>
        <v>8.3145522667306362E-2</v>
      </c>
      <c r="CC6" s="95">
        <f>+'Pro-Forma Segments'!AY7</f>
        <v>9.7906785892946532E-2</v>
      </c>
      <c r="CD6" s="95">
        <f>+'Pro-Forma Segments'!AZ7</f>
        <v>7.292002888045758E-2</v>
      </c>
      <c r="CE6" s="91">
        <f>+'Pro-Forma Segments'!BA7</f>
        <v>8.0862218820039619E-2</v>
      </c>
      <c r="CF6" s="95">
        <f>+'Pro-Forma Segments'!BB7</f>
        <v>6.6648027109852973E-2</v>
      </c>
      <c r="CG6" s="95">
        <f>+'Pro-Forma Segments'!BC7</f>
        <v>6.6471029077204341E-2</v>
      </c>
      <c r="CH6" s="95">
        <f>+'Pro-Forma Segments'!BD7</f>
        <v>6.2343583616485648E-2</v>
      </c>
      <c r="CI6" s="95">
        <f>+'Pro-Forma Segments'!BE7</f>
        <v>6.1885751861657935E-2</v>
      </c>
      <c r="CJ6" s="91">
        <f>+'Pro-Forma Segments'!BF7</f>
        <v>6.4461664553458323E-2</v>
      </c>
      <c r="CK6" s="95">
        <f>+'Pro-Forma Segments'!BG7</f>
        <v>5.4782087463957657E-2</v>
      </c>
      <c r="CL6" s="95">
        <f>+'Pro-Forma Segments'!BH7</f>
        <v>5.4666787725195801E-2</v>
      </c>
      <c r="CM6" s="95">
        <f>+'Pro-Forma Segments'!BI7</f>
        <v>5.1967159505075432E-2</v>
      </c>
      <c r="CN6" s="95">
        <f>+'Pro-Forma Segments'!BJ7</f>
        <v>5.1666408679889426E-2</v>
      </c>
      <c r="CO6" s="91">
        <f>+'Pro-Forma Segments'!BK7</f>
        <v>5.3355152512383798E-2</v>
      </c>
      <c r="CP6" s="95">
        <f>+'Pro-Forma Segments'!BL7</f>
        <v>4.9802489018164205E-2</v>
      </c>
      <c r="CQ6" s="95">
        <f>+'Pro-Forma Segments'!BM7</f>
        <v>4.971269051539149E-2</v>
      </c>
      <c r="CR6" s="95">
        <f>+'Pro-Forma Segments'!BN7</f>
        <v>4.7604490437604272E-2</v>
      </c>
      <c r="CS6" s="95">
        <f>+'Pro-Forma Segments'!BO7</f>
        <v>4.7368953554605055E-2</v>
      </c>
      <c r="CT6" s="91">
        <f>+'Pro-Forma Segments'!BP7</f>
        <v>4.8689762513347563E-2</v>
      </c>
      <c r="CU6" s="95">
        <f>+'Pro-Forma Segments'!BQ7</f>
        <v>4.5673760389483585E-2</v>
      </c>
      <c r="CV6" s="95">
        <f>+'Pro-Forma Segments'!BR7</f>
        <v>4.5592852082532546E-2</v>
      </c>
      <c r="CW6" s="95">
        <f>+'Pro-Forma Segments'!BS7</f>
        <v>4.3689353472398544E-2</v>
      </c>
      <c r="CX6" s="95">
        <f>+'Pro-Forma Segments'!BT7</f>
        <v>4.3476207407180334E-2</v>
      </c>
      <c r="CY6" s="91">
        <f>+'Pro-Forma Segments'!BU7</f>
        <v>4.4670210701466401E-2</v>
      </c>
      <c r="CZ6" s="86"/>
      <c r="DA6" s="774"/>
      <c r="DB6" s="750"/>
      <c r="DC6" s="750"/>
      <c r="DD6" s="748"/>
      <c r="DE6" s="772"/>
      <c r="DF6" s="7"/>
      <c r="DG6" s="750"/>
      <c r="DH6" s="750"/>
      <c r="DI6" s="773"/>
      <c r="DJ6" s="733"/>
      <c r="DK6" s="733"/>
      <c r="DL6" s="733"/>
      <c r="DM6" s="733"/>
      <c r="DN6" s="733"/>
      <c r="DU6" s="78"/>
      <c r="DV6" s="89"/>
      <c r="DW6" s="739"/>
      <c r="DX6" s="739"/>
      <c r="DY6" s="739"/>
      <c r="DZ6" s="739"/>
      <c r="EA6" s="739"/>
      <c r="EC6" s="721"/>
      <c r="ED6" s="813"/>
    </row>
    <row r="7" spans="1:137" hidden="1" outlineLevel="1" x14ac:dyDescent="0.2">
      <c r="A7" s="78"/>
      <c r="B7" s="48"/>
      <c r="C7" s="78"/>
      <c r="D7" s="90"/>
      <c r="E7" s="90"/>
      <c r="F7" s="90"/>
      <c r="G7" s="90"/>
      <c r="H7" s="91"/>
      <c r="I7" s="90"/>
      <c r="J7" s="90"/>
      <c r="K7" s="90"/>
      <c r="L7" s="90"/>
      <c r="M7" s="91"/>
      <c r="N7" s="90"/>
      <c r="O7" s="90"/>
      <c r="P7" s="90"/>
      <c r="Q7" s="90"/>
      <c r="R7" s="91"/>
      <c r="S7" s="90"/>
      <c r="T7" s="90"/>
      <c r="U7" s="90"/>
      <c r="V7" s="90"/>
      <c r="W7" s="91"/>
      <c r="X7" s="90"/>
      <c r="Y7" s="90"/>
      <c r="Z7" s="90"/>
      <c r="AA7" s="90"/>
      <c r="AB7" s="91"/>
      <c r="AC7" s="90"/>
      <c r="AD7" s="90"/>
      <c r="AE7" s="90"/>
      <c r="AF7" s="90"/>
      <c r="AG7" s="91"/>
      <c r="AH7" s="90"/>
      <c r="AI7" s="90"/>
      <c r="AJ7" s="90"/>
      <c r="AK7" s="90"/>
      <c r="AL7" s="91"/>
      <c r="AM7" s="90"/>
      <c r="AN7" s="90"/>
      <c r="AO7" s="90"/>
      <c r="AP7" s="90"/>
      <c r="AQ7" s="91"/>
      <c r="AR7" s="90"/>
      <c r="AS7" s="90"/>
      <c r="AT7" s="92"/>
      <c r="AU7" s="92"/>
      <c r="AV7" s="96"/>
      <c r="AW7" s="92"/>
      <c r="AX7" s="92"/>
      <c r="AY7" s="92"/>
      <c r="AZ7" s="92"/>
      <c r="BA7" s="91"/>
      <c r="BB7" s="92"/>
      <c r="BC7" s="92"/>
      <c r="BD7" s="92"/>
      <c r="BE7" s="92"/>
      <c r="BF7" s="91"/>
      <c r="BG7" s="92"/>
      <c r="BH7" s="92"/>
      <c r="BI7" s="95"/>
      <c r="BJ7" s="95"/>
      <c r="BK7" s="91"/>
      <c r="BL7" s="95"/>
      <c r="BM7" s="131"/>
      <c r="BN7" s="95"/>
      <c r="BO7" s="95"/>
      <c r="BP7" s="91"/>
      <c r="BQ7" s="95"/>
      <c r="BR7" s="95"/>
      <c r="BS7" s="95"/>
      <c r="BT7" s="95"/>
      <c r="BU7" s="91"/>
      <c r="BV7" s="95"/>
      <c r="BW7" s="95"/>
      <c r="BX7" s="95"/>
      <c r="BY7" s="95"/>
      <c r="BZ7" s="91"/>
      <c r="CA7" s="95"/>
      <c r="CB7" s="95"/>
      <c r="CC7" s="95"/>
      <c r="CD7" s="95"/>
      <c r="CE7" s="91"/>
      <c r="CF7" s="95"/>
      <c r="CG7" s="95"/>
      <c r="CH7" s="95"/>
      <c r="CI7" s="95"/>
      <c r="CJ7" s="91"/>
      <c r="CK7" s="95"/>
      <c r="CL7" s="95"/>
      <c r="CM7" s="95"/>
      <c r="CN7" s="95"/>
      <c r="CO7" s="91"/>
      <c r="CP7" s="95"/>
      <c r="CQ7" s="95"/>
      <c r="CR7" s="95"/>
      <c r="CS7" s="95"/>
      <c r="CT7" s="91"/>
      <c r="CU7" s="95"/>
      <c r="CV7" s="95"/>
      <c r="CW7" s="95"/>
      <c r="CX7" s="95"/>
      <c r="CY7" s="91"/>
      <c r="CZ7" s="86"/>
      <c r="DA7" s="775"/>
      <c r="DB7" s="750"/>
      <c r="DC7" s="750"/>
      <c r="DD7" s="750"/>
      <c r="DE7" s="772"/>
      <c r="DF7" s="7"/>
      <c r="DG7" s="738"/>
      <c r="DH7" s="738"/>
      <c r="DI7" s="773"/>
      <c r="DJ7" s="733"/>
      <c r="DK7" s="733"/>
      <c r="DL7" s="733"/>
      <c r="DM7" s="733"/>
      <c r="DN7" s="733"/>
      <c r="DU7" s="78"/>
      <c r="DV7" s="89"/>
      <c r="DW7" s="739"/>
      <c r="DX7" s="739"/>
      <c r="DY7" s="739"/>
      <c r="DZ7" s="739"/>
      <c r="EA7" s="739"/>
    </row>
    <row r="8" spans="1:137" hidden="1" outlineLevel="1" x14ac:dyDescent="0.2">
      <c r="A8" s="48"/>
      <c r="B8" s="48"/>
      <c r="C8" s="48"/>
      <c r="D8" s="90"/>
      <c r="E8" s="90"/>
      <c r="F8" s="90"/>
      <c r="G8" s="90"/>
      <c r="H8" s="91"/>
      <c r="I8" s="90"/>
      <c r="J8" s="90"/>
      <c r="K8" s="90"/>
      <c r="L8" s="90"/>
      <c r="M8" s="91"/>
      <c r="N8" s="90"/>
      <c r="O8" s="90"/>
      <c r="P8" s="90"/>
      <c r="Q8" s="90"/>
      <c r="R8" s="91"/>
      <c r="S8" s="90"/>
      <c r="T8" s="90"/>
      <c r="U8" s="90"/>
      <c r="V8" s="90"/>
      <c r="W8" s="91"/>
      <c r="X8" s="90"/>
      <c r="Y8" s="90"/>
      <c r="Z8" s="90"/>
      <c r="AA8" s="90"/>
      <c r="AB8" s="91"/>
      <c r="AC8" s="90"/>
      <c r="AD8" s="90"/>
      <c r="AE8" s="90"/>
      <c r="AF8" s="90"/>
      <c r="AG8" s="91"/>
      <c r="AH8" s="90"/>
      <c r="AI8" s="90"/>
      <c r="AJ8" s="90"/>
      <c r="AK8" s="90"/>
      <c r="AL8" s="91"/>
      <c r="AM8" s="90"/>
      <c r="AN8" s="90"/>
      <c r="AO8" s="90"/>
      <c r="AP8" s="90"/>
      <c r="AQ8" s="91"/>
      <c r="AR8" s="90"/>
      <c r="AS8" s="90"/>
      <c r="AT8" s="97"/>
      <c r="AU8" s="92"/>
      <c r="AV8" s="91"/>
      <c r="AW8" s="92"/>
      <c r="AX8" s="92"/>
      <c r="AY8" s="92"/>
      <c r="AZ8" s="92"/>
      <c r="BA8" s="91"/>
      <c r="BB8" s="92"/>
      <c r="BC8" s="92"/>
      <c r="BD8" s="92"/>
      <c r="BE8" s="92"/>
      <c r="BF8" s="91"/>
      <c r="BG8" s="92"/>
      <c r="BH8" s="95"/>
      <c r="BI8" s="131"/>
      <c r="BJ8" s="95"/>
      <c r="BK8" s="91"/>
      <c r="BL8" s="95"/>
      <c r="BM8" s="131"/>
      <c r="BN8" s="95"/>
      <c r="BO8" s="95"/>
      <c r="BP8" s="91"/>
      <c r="BQ8" s="95"/>
      <c r="BR8" s="95"/>
      <c r="BS8" s="95"/>
      <c r="BT8" s="95"/>
      <c r="BU8" s="91"/>
      <c r="BV8" s="95"/>
      <c r="BW8" s="95"/>
      <c r="BX8" s="95"/>
      <c r="BY8" s="95"/>
      <c r="BZ8" s="91"/>
      <c r="CA8" s="95"/>
      <c r="CB8" s="95"/>
      <c r="CC8" s="95"/>
      <c r="CD8" s="95"/>
      <c r="CE8" s="91"/>
      <c r="CF8" s="95"/>
      <c r="CG8" s="95"/>
      <c r="CH8" s="95"/>
      <c r="CI8" s="95"/>
      <c r="CJ8" s="91"/>
      <c r="CK8" s="95"/>
      <c r="CL8" s="95"/>
      <c r="CM8" s="95"/>
      <c r="CN8" s="95"/>
      <c r="CO8" s="91"/>
      <c r="CP8" s="95"/>
      <c r="CQ8" s="95"/>
      <c r="CR8" s="95"/>
      <c r="CS8" s="95"/>
      <c r="CT8" s="91"/>
      <c r="CU8" s="95"/>
      <c r="CV8" s="95"/>
      <c r="CW8" s="95"/>
      <c r="CX8" s="95"/>
      <c r="CY8" s="91"/>
      <c r="CZ8" s="97"/>
      <c r="DB8" s="750"/>
      <c r="DC8" s="750"/>
      <c r="DG8" s="750"/>
      <c r="DH8" s="750"/>
      <c r="DI8" s="730"/>
      <c r="DJ8" s="730"/>
      <c r="DK8" s="730"/>
      <c r="DL8" s="730"/>
      <c r="DM8" s="730"/>
      <c r="DN8" s="730"/>
      <c r="DU8" s="48"/>
      <c r="DV8" s="48"/>
      <c r="DW8" s="730"/>
      <c r="DX8" s="730"/>
      <c r="DY8" s="730"/>
      <c r="DZ8" s="730"/>
      <c r="EA8" s="730"/>
    </row>
    <row r="9" spans="1:137" collapsed="1" x14ac:dyDescent="0.2">
      <c r="A9" s="48"/>
      <c r="B9" s="48" t="s">
        <v>59</v>
      </c>
      <c r="C9" s="48"/>
      <c r="D9" s="90"/>
      <c r="E9" s="90"/>
      <c r="F9" s="90"/>
      <c r="G9" s="90"/>
      <c r="H9" s="98"/>
      <c r="I9" s="90">
        <f t="shared" ref="I9:AN9" si="1">+I5/D5-1</f>
        <v>0.19992572482990445</v>
      </c>
      <c r="J9" s="90">
        <f t="shared" si="1"/>
        <v>0.13816482705935051</v>
      </c>
      <c r="K9" s="90">
        <f t="shared" si="1"/>
        <v>9.9734818404291437E-2</v>
      </c>
      <c r="L9" s="90">
        <f t="shared" si="1"/>
        <v>0.18982376480570573</v>
      </c>
      <c r="M9" s="98">
        <f t="shared" si="1"/>
        <v>0.15364281996949702</v>
      </c>
      <c r="N9" s="90">
        <f t="shared" si="1"/>
        <v>0.18249658957948034</v>
      </c>
      <c r="O9" s="90">
        <f t="shared" si="1"/>
        <v>0.14949548720708306</v>
      </c>
      <c r="P9" s="90">
        <f t="shared" si="1"/>
        <v>0.1670693213939991</v>
      </c>
      <c r="Q9" s="90">
        <f t="shared" si="1"/>
        <v>9.8479205073620513E-3</v>
      </c>
      <c r="R9" s="98">
        <f t="shared" si="1"/>
        <v>0.12620050992773835</v>
      </c>
      <c r="S9" s="90">
        <f t="shared" si="1"/>
        <v>5.4138718782346329E-2</v>
      </c>
      <c r="T9" s="90">
        <f t="shared" si="1"/>
        <v>0.18921875668542287</v>
      </c>
      <c r="U9" s="90">
        <f t="shared" si="1"/>
        <v>0.18443690316470662</v>
      </c>
      <c r="V9" s="90">
        <f t="shared" si="1"/>
        <v>8.9989502815153832E-2</v>
      </c>
      <c r="W9" s="98">
        <f t="shared" si="1"/>
        <v>0.13313782991202339</v>
      </c>
      <c r="X9" s="90">
        <f t="shared" si="1"/>
        <v>-0.22034778094990914</v>
      </c>
      <c r="Y9" s="90">
        <f t="shared" si="1"/>
        <v>-0.37029982363315694</v>
      </c>
      <c r="Z9" s="90">
        <f t="shared" si="1"/>
        <v>-0.27052238805970152</v>
      </c>
      <c r="AA9" s="90">
        <f t="shared" si="1"/>
        <v>-0.22570478024864282</v>
      </c>
      <c r="AB9" s="98">
        <f t="shared" si="1"/>
        <v>-0.27670424047235631</v>
      </c>
      <c r="AC9" s="90">
        <f t="shared" si="1"/>
        <v>3.3954727030625964E-2</v>
      </c>
      <c r="AD9" s="90">
        <f t="shared" si="1"/>
        <v>7.1588617521846309E-2</v>
      </c>
      <c r="AE9" s="90">
        <f t="shared" si="1"/>
        <v>-5.8092802338326588E-2</v>
      </c>
      <c r="AF9" s="90">
        <f t="shared" si="1"/>
        <v>-0.16881501582994118</v>
      </c>
      <c r="AG9" s="98">
        <f t="shared" si="1"/>
        <v>-3.138086403392526E-2</v>
      </c>
      <c r="AH9" s="90">
        <f t="shared" si="1"/>
        <v>-0.15046147241897412</v>
      </c>
      <c r="AI9" s="90">
        <f t="shared" si="1"/>
        <v>-8.3324621014113864E-2</v>
      </c>
      <c r="AJ9" s="90">
        <f t="shared" si="1"/>
        <v>-4.2183863460046656E-2</v>
      </c>
      <c r="AK9" s="90">
        <f t="shared" si="1"/>
        <v>-3.5913481159025928E-2</v>
      </c>
      <c r="AL9" s="98">
        <f t="shared" si="1"/>
        <v>-7.9297323920538454E-2</v>
      </c>
      <c r="AM9" s="90">
        <f t="shared" si="1"/>
        <v>-5.1793835270338429E-3</v>
      </c>
      <c r="AN9" s="90">
        <f t="shared" si="1"/>
        <v>-1.5967153284671687E-2</v>
      </c>
      <c r="AO9" s="90">
        <f t="shared" ref="AO9:BT9" si="2">+AO5/AJ5-1</f>
        <v>-2.1565252607066876E-2</v>
      </c>
      <c r="AP9" s="90">
        <f t="shared" si="2"/>
        <v>9.3128263016790669E-3</v>
      </c>
      <c r="AQ9" s="98">
        <f t="shared" si="2"/>
        <v>-9.7479790775083508E-3</v>
      </c>
      <c r="AR9" s="90">
        <f t="shared" si="2"/>
        <v>-0.19326984126984137</v>
      </c>
      <c r="AS9" s="90">
        <f t="shared" si="2"/>
        <v>-0.20004636068613801</v>
      </c>
      <c r="AT9" s="97">
        <f t="shared" si="2"/>
        <v>-0.27493791390728473</v>
      </c>
      <c r="AU9" s="92">
        <f t="shared" si="2"/>
        <v>-0.12190689221305739</v>
      </c>
      <c r="AV9" s="96">
        <f t="shared" si="2"/>
        <v>-0.20339135654261697</v>
      </c>
      <c r="AW9" s="92">
        <f t="shared" si="2"/>
        <v>-7.8702974972455486E-4</v>
      </c>
      <c r="AX9" s="92">
        <f t="shared" si="2"/>
        <v>1.2025499855114363E-2</v>
      </c>
      <c r="AY9" s="92">
        <f t="shared" si="2"/>
        <v>9.4476951619808736E-2</v>
      </c>
      <c r="AZ9" s="92">
        <f t="shared" si="2"/>
        <v>0.1079445948097435</v>
      </c>
      <c r="BA9" s="98">
        <f t="shared" si="2"/>
        <v>5.3422747993821185E-2</v>
      </c>
      <c r="BB9" s="90">
        <f t="shared" si="2"/>
        <v>6.0806553245116524E-2</v>
      </c>
      <c r="BC9" s="90">
        <f t="shared" si="2"/>
        <v>1.0899069434502504</v>
      </c>
      <c r="BD9" s="90">
        <f t="shared" si="2"/>
        <v>0.8819924370843657</v>
      </c>
      <c r="BE9" s="90">
        <f t="shared" si="2"/>
        <v>0.85543899985630123</v>
      </c>
      <c r="BF9" s="98">
        <f t="shared" si="2"/>
        <v>0.74088909552591109</v>
      </c>
      <c r="BG9" s="90">
        <f>+BG5/BB5-1</f>
        <v>1.2661122661122661</v>
      </c>
      <c r="BH9" s="90">
        <f>+BH5/BC5-1</f>
        <v>0.10124674612960671</v>
      </c>
      <c r="BI9" s="90">
        <f>+BI5/BD5-1</f>
        <v>6.8038522829626524E-2</v>
      </c>
      <c r="BJ9" s="90">
        <f>+BJ5/BE5-1</f>
        <v>4.7785006195786961E-2</v>
      </c>
      <c r="BK9" s="98">
        <f t="shared" si="2"/>
        <v>0.23836719600632739</v>
      </c>
      <c r="BL9" s="90">
        <f>+BL5/BG5-1</f>
        <v>6.9003931847968492E-2</v>
      </c>
      <c r="BM9" s="90">
        <f>+BM5/BH5-1</f>
        <v>7.8253296840010034E-2</v>
      </c>
      <c r="BN9" s="90">
        <f>+BN5/BI5-1</f>
        <v>6.4223159260460516E-2</v>
      </c>
      <c r="BO9" s="90">
        <f>+BO5/BJ5-1</f>
        <v>0.14066080272008263</v>
      </c>
      <c r="BP9" s="98">
        <f t="shared" si="2"/>
        <v>8.6330457863304622E-2</v>
      </c>
      <c r="BQ9" s="90">
        <f t="shared" si="2"/>
        <v>0.14742843131245009</v>
      </c>
      <c r="BR9" s="90">
        <f t="shared" si="2"/>
        <v>0.16603207568939649</v>
      </c>
      <c r="BS9" s="90">
        <f t="shared" si="2"/>
        <v>0.10362694300518127</v>
      </c>
      <c r="BT9" s="90">
        <f t="shared" si="2"/>
        <v>5.4950751684810673E-2</v>
      </c>
      <c r="BU9" s="98">
        <f t="shared" ref="BU9:CY9" si="3">+BU5/BP5-1</f>
        <v>0.11958646386903671</v>
      </c>
      <c r="BV9" s="90">
        <f t="shared" si="3"/>
        <v>3.4031413612565453E-2</v>
      </c>
      <c r="BW9" s="90">
        <f t="shared" si="3"/>
        <v>3.1318028893726479E-2</v>
      </c>
      <c r="BX9" s="90">
        <f t="shared" si="3"/>
        <v>-6.2966031483016049E-3</v>
      </c>
      <c r="BY9" s="90">
        <f t="shared" si="3"/>
        <v>8.4705159705159794E-2</v>
      </c>
      <c r="BZ9" s="98">
        <f>+BZ5/BU5-1</f>
        <v>3.4576826024687923E-2</v>
      </c>
      <c r="CA9" s="90">
        <f t="shared" si="3"/>
        <v>6.9805998579178574E-2</v>
      </c>
      <c r="CB9" s="90">
        <f t="shared" si="3"/>
        <v>8.2874723914607928E-2</v>
      </c>
      <c r="CC9" s="90">
        <f t="shared" si="3"/>
        <v>9.7569283808570884E-2</v>
      </c>
      <c r="CD9" s="90">
        <f t="shared" si="3"/>
        <v>7.2876498669233847E-2</v>
      </c>
      <c r="CE9" s="98">
        <f t="shared" si="3"/>
        <v>8.0697611041529393E-2</v>
      </c>
      <c r="CF9" s="90">
        <f t="shared" si="3"/>
        <v>6.6582410102238754E-2</v>
      </c>
      <c r="CG9" s="90">
        <f t="shared" si="3"/>
        <v>6.6404759482134645E-2</v>
      </c>
      <c r="CH9" s="90">
        <f t="shared" si="3"/>
        <v>6.2262096230059294E-2</v>
      </c>
      <c r="CI9" s="90">
        <f t="shared" si="3"/>
        <v>6.1802576460650238E-2</v>
      </c>
      <c r="CJ9" s="98">
        <f t="shared" si="3"/>
        <v>6.4387986480100468E-2</v>
      </c>
      <c r="CK9" s="90">
        <f t="shared" si="3"/>
        <v>5.4718721035632578E-2</v>
      </c>
      <c r="CL9" s="90">
        <f t="shared" si="3"/>
        <v>5.4602780431234565E-2</v>
      </c>
      <c r="CM9" s="90">
        <f t="shared" si="3"/>
        <v>5.1888146982349559E-2</v>
      </c>
      <c r="CN9" s="90">
        <f t="shared" si="3"/>
        <v>5.1585724506637787E-2</v>
      </c>
      <c r="CO9" s="98">
        <f t="shared" si="3"/>
        <v>5.3283854812181675E-2</v>
      </c>
      <c r="CP9" s="90">
        <f t="shared" si="3"/>
        <v>4.9740607665464731E-2</v>
      </c>
      <c r="CQ9" s="90">
        <f t="shared" si="3"/>
        <v>4.9650176444687943E-2</v>
      </c>
      <c r="CR9" s="90">
        <f t="shared" si="3"/>
        <v>4.7527122041885583E-2</v>
      </c>
      <c r="CS9" s="90">
        <f t="shared" si="3"/>
        <v>4.7289925571900149E-2</v>
      </c>
      <c r="CT9" s="98">
        <f t="shared" si="3"/>
        <v>4.8620040917528362E-2</v>
      </c>
      <c r="CU9" s="90">
        <f t="shared" si="3"/>
        <v>4.562063243700365E-2</v>
      </c>
      <c r="CV9" s="90">
        <f t="shared" si="3"/>
        <v>4.5539176288933891E-2</v>
      </c>
      <c r="CW9" s="90">
        <f t="shared" si="3"/>
        <v>4.3622788831565451E-2</v>
      </c>
      <c r="CX9" s="90">
        <f t="shared" si="3"/>
        <v>4.3408199525433622E-2</v>
      </c>
      <c r="CY9" s="98">
        <f t="shared" si="3"/>
        <v>4.4610287577951047E-2</v>
      </c>
      <c r="CZ9" s="97"/>
      <c r="DB9" s="750"/>
      <c r="DC9" s="750"/>
      <c r="DG9" s="750"/>
      <c r="DH9" s="750"/>
      <c r="DI9" s="730"/>
      <c r="DJ9" s="730"/>
      <c r="DK9" s="730"/>
      <c r="DL9" s="730"/>
      <c r="DM9" s="730"/>
      <c r="DN9" s="730"/>
      <c r="DU9" s="48"/>
      <c r="DV9" s="48"/>
      <c r="DW9" s="730"/>
      <c r="DX9" s="730"/>
      <c r="DY9" s="730"/>
      <c r="DZ9" s="730"/>
      <c r="EA9" s="730"/>
    </row>
    <row r="10" spans="1:137" ht="15.75" customHeight="1" x14ac:dyDescent="0.2">
      <c r="A10" s="48"/>
      <c r="B10" s="48"/>
      <c r="C10" s="48"/>
      <c r="D10" s="99"/>
      <c r="E10" s="100"/>
      <c r="F10" s="100"/>
      <c r="G10" s="100"/>
      <c r="H10" s="101"/>
      <c r="I10" s="100"/>
      <c r="J10" s="100"/>
      <c r="K10" s="100"/>
      <c r="L10" s="100"/>
      <c r="M10" s="101"/>
      <c r="N10" s="100"/>
      <c r="O10" s="100"/>
      <c r="P10" s="100"/>
      <c r="Q10" s="100"/>
      <c r="R10" s="101"/>
      <c r="S10" s="100"/>
      <c r="T10" s="100"/>
      <c r="U10" s="100"/>
      <c r="V10" s="100"/>
      <c r="W10" s="101"/>
      <c r="X10" s="100"/>
      <c r="Y10" s="100"/>
      <c r="Z10" s="100"/>
      <c r="AA10" s="100"/>
      <c r="AB10" s="101"/>
      <c r="AC10" s="100"/>
      <c r="AD10" s="100"/>
      <c r="AE10" s="100"/>
      <c r="AF10" s="100"/>
      <c r="AG10" s="101"/>
      <c r="AH10" s="100"/>
      <c r="AI10" s="100"/>
      <c r="AJ10" s="100"/>
      <c r="AK10" s="100"/>
      <c r="AL10" s="101"/>
      <c r="AM10" s="100"/>
      <c r="AN10" s="100"/>
      <c r="AO10" s="100"/>
      <c r="AP10" s="100"/>
      <c r="AQ10" s="101"/>
      <c r="AR10" s="100"/>
      <c r="AS10" s="100"/>
      <c r="AT10" s="102"/>
      <c r="AU10" s="100"/>
      <c r="AV10" s="101"/>
      <c r="AW10" s="100"/>
      <c r="AX10" s="100"/>
      <c r="AY10" s="102"/>
      <c r="AZ10" s="102"/>
      <c r="BA10" s="101"/>
      <c r="BB10" s="100"/>
      <c r="BC10" s="100"/>
      <c r="BD10" s="100"/>
      <c r="BE10" s="100"/>
      <c r="BF10" s="101"/>
      <c r="BG10" s="100"/>
      <c r="BH10" s="100"/>
      <c r="BI10" s="100"/>
      <c r="BJ10" s="100"/>
      <c r="BK10" s="101"/>
      <c r="BL10" s="100"/>
      <c r="BM10" s="100"/>
      <c r="BN10" s="100"/>
      <c r="BO10" s="100"/>
      <c r="BP10" s="101"/>
      <c r="BQ10" s="90"/>
      <c r="BR10" s="90"/>
      <c r="BS10" s="90"/>
      <c r="BT10" s="90"/>
      <c r="BU10" s="98"/>
      <c r="BV10" s="100"/>
      <c r="BW10" s="100"/>
      <c r="BX10" s="100"/>
      <c r="BY10" s="100"/>
      <c r="BZ10" s="98"/>
      <c r="CA10" s="100"/>
      <c r="CB10" s="100"/>
      <c r="CC10" s="100"/>
      <c r="CD10" s="100"/>
      <c r="CE10" s="101"/>
      <c r="CF10" s="100"/>
      <c r="CG10" s="100"/>
      <c r="CH10" s="100"/>
      <c r="CI10" s="100"/>
      <c r="CJ10" s="101"/>
      <c r="CK10" s="100"/>
      <c r="CL10" s="100"/>
      <c r="CM10" s="100"/>
      <c r="CN10" s="100"/>
      <c r="CO10" s="101"/>
      <c r="CP10" s="100"/>
      <c r="CQ10" s="100"/>
      <c r="CR10" s="100"/>
      <c r="CS10" s="100"/>
      <c r="CT10" s="101"/>
      <c r="CU10" s="100"/>
      <c r="CV10" s="100"/>
      <c r="CW10" s="100"/>
      <c r="CX10" s="100"/>
      <c r="CY10" s="101"/>
      <c r="CZ10" s="103"/>
      <c r="DB10" s="776"/>
      <c r="DC10" s="776"/>
      <c r="DG10" s="776"/>
      <c r="DH10" s="776"/>
      <c r="DI10" s="730"/>
      <c r="DJ10" s="730"/>
      <c r="DK10" s="730"/>
      <c r="DL10" s="730"/>
      <c r="DM10" s="730"/>
      <c r="DN10" s="730"/>
      <c r="DU10" s="48"/>
      <c r="DV10" s="48"/>
      <c r="DW10" s="730"/>
      <c r="DX10" s="730"/>
      <c r="DY10" s="730"/>
      <c r="DZ10" s="730"/>
      <c r="EA10" s="730"/>
      <c r="ED10" s="564"/>
    </row>
    <row r="11" spans="1:137" x14ac:dyDescent="0.2">
      <c r="A11" s="48" t="s">
        <v>60</v>
      </c>
      <c r="B11" s="48"/>
      <c r="C11" s="48"/>
      <c r="D11" s="104">
        <f t="shared" ref="D11:M11" si="4">+D15-D5</f>
        <v>-558.20000000000005</v>
      </c>
      <c r="E11" s="104">
        <f t="shared" si="4"/>
        <v>-644.68799999999999</v>
      </c>
      <c r="F11" s="104">
        <f t="shared" si="4"/>
        <v>-701.91200000000003</v>
      </c>
      <c r="G11" s="104">
        <f t="shared" si="4"/>
        <v>-634.8839999999999</v>
      </c>
      <c r="H11" s="105">
        <f t="shared" si="4"/>
        <v>-2539.6839999999997</v>
      </c>
      <c r="I11" s="104">
        <f t="shared" si="4"/>
        <v>-673.6239999999998</v>
      </c>
      <c r="J11" s="104">
        <f t="shared" si="4"/>
        <v>-746.28600000000006</v>
      </c>
      <c r="K11" s="104">
        <f t="shared" si="4"/>
        <v>-772.04700000000003</v>
      </c>
      <c r="L11" s="104">
        <f t="shared" si="4"/>
        <v>-738.88100000000009</v>
      </c>
      <c r="M11" s="105">
        <f t="shared" si="4"/>
        <v>-2930.8379999999997</v>
      </c>
      <c r="N11" s="104">
        <v>-780.9</v>
      </c>
      <c r="O11" s="104">
        <v>-835.1</v>
      </c>
      <c r="P11" s="104">
        <v>-867.4</v>
      </c>
      <c r="Q11" s="104">
        <v>-751.2</v>
      </c>
      <c r="R11" s="105">
        <v>-3234.6</v>
      </c>
      <c r="S11" s="104">
        <v>-834.1</v>
      </c>
      <c r="T11" s="104">
        <v>-994.6</v>
      </c>
      <c r="U11" s="104">
        <v>-1034.9000000000001</v>
      </c>
      <c r="V11" s="104">
        <v>-788.4</v>
      </c>
      <c r="W11" s="105">
        <v>-3652</v>
      </c>
      <c r="X11" s="104">
        <v>-627.9</v>
      </c>
      <c r="Y11" s="104">
        <v>-578.4</v>
      </c>
      <c r="Z11" s="104">
        <v>-697.5</v>
      </c>
      <c r="AA11" s="104">
        <v>-554.1</v>
      </c>
      <c r="AB11" s="105">
        <v>-2457.9</v>
      </c>
      <c r="AC11" s="104">
        <v>-592.4</v>
      </c>
      <c r="AD11" s="104">
        <v>-596.5</v>
      </c>
      <c r="AE11" s="104">
        <f>+AG11-AF11-AC11-AD11</f>
        <v>-618.80000000000018</v>
      </c>
      <c r="AF11" s="104">
        <v>-489.6</v>
      </c>
      <c r="AG11" s="105">
        <v>-2297.3000000000002</v>
      </c>
      <c r="AH11" s="104">
        <v>-515.4</v>
      </c>
      <c r="AI11" s="104">
        <v>-551.70000000000005</v>
      </c>
      <c r="AJ11" s="104">
        <v>-638.4</v>
      </c>
      <c r="AK11" s="104">
        <v>-482.1</v>
      </c>
      <c r="AL11" s="105">
        <f>+AH11+AI11+AJ11+AK11</f>
        <v>-2187.6</v>
      </c>
      <c r="AM11" s="104">
        <v>-515.5</v>
      </c>
      <c r="AN11" s="104">
        <v>-547.9</v>
      </c>
      <c r="AO11" s="104">
        <v>-613.4</v>
      </c>
      <c r="AP11" s="104">
        <v>-460.4</v>
      </c>
      <c r="AQ11" s="105">
        <f>+AM11+AN11+AO11+AP11</f>
        <v>-2137.2000000000003</v>
      </c>
      <c r="AR11" s="104">
        <v>-384.1</v>
      </c>
      <c r="AS11" s="104">
        <v>-407.1</v>
      </c>
      <c r="AT11" s="106">
        <v>-417</v>
      </c>
      <c r="AU11" s="104">
        <v>-382.1</v>
      </c>
      <c r="AV11" s="105">
        <f>+AR11+AS11+AT11+AU11</f>
        <v>-1590.3000000000002</v>
      </c>
      <c r="AW11" s="104">
        <f>-384.2+0.8</f>
        <v>-383.4</v>
      </c>
      <c r="AX11" s="104">
        <f>-413.4+1.5</f>
        <v>-411.9</v>
      </c>
      <c r="AY11" s="104">
        <f>-456.1+3.4</f>
        <v>-452.70000000000005</v>
      </c>
      <c r="AZ11" s="104">
        <f>-434.1+2.1</f>
        <v>-432</v>
      </c>
      <c r="BA11" s="105">
        <f>+AW11+AX11+AY11+AZ11</f>
        <v>-1680</v>
      </c>
      <c r="BB11" s="104">
        <f>-417.3+1.5</f>
        <v>-415.8</v>
      </c>
      <c r="BC11" s="104">
        <f>-882.8+11.6</f>
        <v>-871.19999999999993</v>
      </c>
      <c r="BD11" s="104">
        <f>-833.6+2.2</f>
        <v>-831.4</v>
      </c>
      <c r="BE11" s="104">
        <f>-742.3+0.7</f>
        <v>-741.59999999999991</v>
      </c>
      <c r="BF11" s="105">
        <f>+BB11+BC11+BD11+BE11</f>
        <v>-2860</v>
      </c>
      <c r="BG11" s="104">
        <f>-855.9+7.9</f>
        <v>-848</v>
      </c>
      <c r="BH11" s="104">
        <f>-932.1+22.3</f>
        <v>-909.80000000000007</v>
      </c>
      <c r="BI11" s="104">
        <f>-902.8+31.7</f>
        <v>-871.09999999999991</v>
      </c>
      <c r="BJ11" s="104">
        <f>-758.6-2.4</f>
        <v>-761</v>
      </c>
      <c r="BK11" s="105">
        <f>+BG11+BH11+BI11+BJ11</f>
        <v>-3389.9</v>
      </c>
      <c r="BL11" s="104">
        <f>-894.2+8.6</f>
        <v>-885.6</v>
      </c>
      <c r="BM11" s="104">
        <f>-957.8+14.7</f>
        <v>-943.09999999999991</v>
      </c>
      <c r="BN11" s="104">
        <f>-907+25.9</f>
        <v>-881.1</v>
      </c>
      <c r="BO11" s="104">
        <f>-847.1+19.5</f>
        <v>-827.6</v>
      </c>
      <c r="BP11" s="105">
        <f>+BL11+BM11+BN11+BO11</f>
        <v>-3537.3999999999996</v>
      </c>
      <c r="BQ11" s="104">
        <f>-990.5-11.1</f>
        <v>-1001.6</v>
      </c>
      <c r="BR11" s="104">
        <f>-1052.2+2</f>
        <v>-1050.2</v>
      </c>
      <c r="BS11" s="104">
        <f>-919.1-7</f>
        <v>-926.1</v>
      </c>
      <c r="BT11" s="104">
        <f>-840.3-1.3</f>
        <v>-841.59999999999991</v>
      </c>
      <c r="BU11" s="105">
        <f>+BQ11+BR11+BS11+BT11</f>
        <v>-3819.5</v>
      </c>
      <c r="BV11" s="104">
        <f>-940.2+7.7</f>
        <v>-932.5</v>
      </c>
      <c r="BW11" s="104">
        <f>-1019.2-3.4</f>
        <v>-1022.6</v>
      </c>
      <c r="BX11" s="104">
        <f>-891.6+3.8</f>
        <v>-887.80000000000007</v>
      </c>
      <c r="BY11" s="104">
        <f>-916.8+20</f>
        <v>-896.8</v>
      </c>
      <c r="BZ11" s="105">
        <f>+BV11+BW11+BX11+BY11</f>
        <v>-3739.7</v>
      </c>
      <c r="CA11" s="104">
        <f>-CA12*CA5</f>
        <v>-991.38226514433416</v>
      </c>
      <c r="CB11" s="104">
        <f>-CB12*CB5</f>
        <v>-1083.646542874078</v>
      </c>
      <c r="CC11" s="104">
        <f>-CC12*CC5</f>
        <v>-948.75173048474937</v>
      </c>
      <c r="CD11" s="104">
        <f>CE11-CA11-CB11-CC11</f>
        <v>-939.83194940122019</v>
      </c>
      <c r="CE11" s="107">
        <f>-CE12*CE5</f>
        <v>-3963.6124879043819</v>
      </c>
      <c r="CF11" s="104">
        <f>-CF12*CF5</f>
        <v>-1037.5146045538531</v>
      </c>
      <c r="CG11" s="104">
        <f>-CG12*CG5</f>
        <v>-1133.9415289575761</v>
      </c>
      <c r="CH11" s="104">
        <f>-CH12*CH5</f>
        <v>-988.94476464678155</v>
      </c>
      <c r="CI11" s="104">
        <f>CJ11-CF11-CG11-CH11</f>
        <v>-979.89664673154607</v>
      </c>
      <c r="CJ11" s="107">
        <f>-CJ12*CJ5</f>
        <v>-4140.2975448897569</v>
      </c>
      <c r="CK11" s="104">
        <f>-CK12*CK5</f>
        <v>-1084.9687941845471</v>
      </c>
      <c r="CL11" s="104">
        <f>-CL12*CL5</f>
        <v>-1185.7035634705258</v>
      </c>
      <c r="CM11" s="104">
        <f>-CM12*CM5</f>
        <v>-1031.4335896696309</v>
      </c>
      <c r="CN11" s="104">
        <f>CO11-CK11-CL11-CM11</f>
        <v>-1022.0434863236076</v>
      </c>
      <c r="CO11" s="107">
        <f>-CO12*CO5</f>
        <v>-4324.1494336483111</v>
      </c>
      <c r="CP11" s="104">
        <f>-CP12*CP5</f>
        <v>-1132.822845127906</v>
      </c>
      <c r="CQ11" s="104">
        <f>-CQ12*CQ5</f>
        <v>-1237.9123984310886</v>
      </c>
      <c r="CR11" s="104">
        <f>-CR12*CR5</f>
        <v>-1074.6764436691954</v>
      </c>
      <c r="CS11" s="104">
        <f>CT11-CP11-CQ11-CR11</f>
        <v>-1064.8865971676144</v>
      </c>
      <c r="CT11" s="107">
        <f>-CT12*CT5</f>
        <v>-4510.2982843958043</v>
      </c>
      <c r="CU11" s="104">
        <f>-CU12*CU5</f>
        <v>-1178.1111066574051</v>
      </c>
      <c r="CV11" s="104">
        <f>-CV12*CV5</f>
        <v>-1287.3209914155595</v>
      </c>
      <c r="CW11" s="104">
        <f>-CW12*CW5</f>
        <v>-1115.5265492383451</v>
      </c>
      <c r="CX11" s="104">
        <f>CY11-CU11-CV11-CW11</f>
        <v>-1105.379141485254</v>
      </c>
      <c r="CY11" s="107">
        <f>-CY12*CY5</f>
        <v>-4686.3377887965635</v>
      </c>
      <c r="CZ11" s="106"/>
      <c r="DA11" s="777"/>
      <c r="DB11" s="308"/>
      <c r="DC11" s="308"/>
      <c r="DD11" s="748"/>
      <c r="DG11" s="308"/>
      <c r="DH11" s="308"/>
      <c r="DI11" s="773"/>
      <c r="DJ11" s="730"/>
      <c r="DK11" s="730"/>
      <c r="DL11" s="730"/>
      <c r="DM11" s="730"/>
      <c r="DN11" s="730"/>
      <c r="DU11" s="48"/>
      <c r="DV11" s="89"/>
      <c r="DW11" s="739"/>
      <c r="DX11" s="739"/>
      <c r="DY11" s="739"/>
      <c r="DZ11" s="739"/>
      <c r="EA11" s="739"/>
    </row>
    <row r="12" spans="1:137" x14ac:dyDescent="0.2">
      <c r="A12" s="48"/>
      <c r="B12" s="48" t="s">
        <v>61</v>
      </c>
      <c r="C12" s="48"/>
      <c r="D12" s="54">
        <f t="shared" ref="D12:AI12" si="5">-D11/D5</f>
        <v>0.72230661928928763</v>
      </c>
      <c r="E12" s="54">
        <f t="shared" si="5"/>
        <v>0.70762097942625324</v>
      </c>
      <c r="F12" s="54">
        <f t="shared" si="5"/>
        <v>0.71097839651232519</v>
      </c>
      <c r="G12" s="54">
        <f t="shared" si="5"/>
        <v>0.72796945409514635</v>
      </c>
      <c r="H12" s="91">
        <f t="shared" si="5"/>
        <v>0.71676802387868288</v>
      </c>
      <c r="I12" s="54">
        <f t="shared" si="5"/>
        <v>0.72643197222057454</v>
      </c>
      <c r="J12" s="54">
        <f t="shared" si="5"/>
        <v>0.71969957789305272</v>
      </c>
      <c r="K12" s="54">
        <f t="shared" si="5"/>
        <v>0.71109807305995798</v>
      </c>
      <c r="L12" s="54">
        <f t="shared" si="5"/>
        <v>0.71205023509151666</v>
      </c>
      <c r="M12" s="91">
        <f t="shared" si="5"/>
        <v>0.71700038017065104</v>
      </c>
      <c r="N12" s="54">
        <f t="shared" si="5"/>
        <v>0.71215237087735461</v>
      </c>
      <c r="O12" s="54">
        <f t="shared" si="5"/>
        <v>0.7006113465312146</v>
      </c>
      <c r="P12" s="54">
        <f t="shared" si="5"/>
        <v>0.68455528371872776</v>
      </c>
      <c r="Q12" s="54">
        <f t="shared" si="5"/>
        <v>0.71686229602061269</v>
      </c>
      <c r="R12" s="91">
        <f t="shared" si="5"/>
        <v>0.70263929618768328</v>
      </c>
      <c r="S12" s="54">
        <f t="shared" si="5"/>
        <v>0.72160221472445707</v>
      </c>
      <c r="T12" s="54">
        <f t="shared" si="5"/>
        <v>0.70165784832451505</v>
      </c>
      <c r="U12" s="54">
        <f t="shared" si="5"/>
        <v>0.68956556503198307</v>
      </c>
      <c r="V12" s="54">
        <f t="shared" si="5"/>
        <v>0.69024689196287869</v>
      </c>
      <c r="W12" s="91">
        <f t="shared" si="5"/>
        <v>0.70009968560693203</v>
      </c>
      <c r="X12" s="54">
        <f t="shared" si="5"/>
        <v>0.69673768308921435</v>
      </c>
      <c r="Y12" s="54">
        <f t="shared" si="5"/>
        <v>0.64799462245126593</v>
      </c>
      <c r="Z12" s="54">
        <f t="shared" si="5"/>
        <v>0.63710266715381803</v>
      </c>
      <c r="AA12" s="54">
        <f t="shared" si="5"/>
        <v>0.62652645861601086</v>
      </c>
      <c r="AB12" s="91">
        <f t="shared" si="5"/>
        <v>0.6514444738934535</v>
      </c>
      <c r="AC12" s="54">
        <f t="shared" si="5"/>
        <v>0.63575874651212705</v>
      </c>
      <c r="AD12" s="54">
        <f t="shared" si="5"/>
        <v>0.62362780972294829</v>
      </c>
      <c r="AE12" s="54">
        <f t="shared" si="5"/>
        <v>0.60007757951900709</v>
      </c>
      <c r="AF12" s="54">
        <f t="shared" si="5"/>
        <v>0.66603183240375463</v>
      </c>
      <c r="AG12" s="91">
        <f t="shared" si="5"/>
        <v>0.62860504569583542</v>
      </c>
      <c r="AH12" s="54">
        <f t="shared" si="5"/>
        <v>0.65108640727640221</v>
      </c>
      <c r="AI12" s="54">
        <f t="shared" si="5"/>
        <v>0.62921989051094895</v>
      </c>
      <c r="AJ12" s="54">
        <f t="shared" ref="AJ12:BG12" si="6">-AJ11/AJ5</f>
        <v>0.64635010630758327</v>
      </c>
      <c r="AK12" s="54">
        <f t="shared" si="6"/>
        <v>0.68025963030901648</v>
      </c>
      <c r="AL12" s="91">
        <f t="shared" si="6"/>
        <v>0.65014265335235377</v>
      </c>
      <c r="AM12" s="54">
        <f t="shared" si="6"/>
        <v>0.65460317460317463</v>
      </c>
      <c r="AN12" s="54">
        <f t="shared" si="6"/>
        <v>0.63502549837737599</v>
      </c>
      <c r="AO12" s="54">
        <f t="shared" si="6"/>
        <v>0.63472682119205293</v>
      </c>
      <c r="AP12" s="54">
        <f t="shared" si="6"/>
        <v>0.6436460226478401</v>
      </c>
      <c r="AQ12" s="91">
        <f t="shared" si="6"/>
        <v>0.6414165666266507</v>
      </c>
      <c r="AR12" s="54">
        <f t="shared" si="6"/>
        <v>0.60459625373839143</v>
      </c>
      <c r="AS12" s="54">
        <f t="shared" si="6"/>
        <v>0.58982903506230078</v>
      </c>
      <c r="AT12" s="33">
        <f t="shared" si="6"/>
        <v>0.59511916654773789</v>
      </c>
      <c r="AU12" s="33">
        <f t="shared" si="6"/>
        <v>0.60834262060181499</v>
      </c>
      <c r="AV12" s="91">
        <f t="shared" si="6"/>
        <v>0.59914101646385109</v>
      </c>
      <c r="AW12" s="33">
        <f t="shared" si="6"/>
        <v>0.60396975425330812</v>
      </c>
      <c r="AX12" s="33">
        <f t="shared" si="6"/>
        <v>0.58969219756621327</v>
      </c>
      <c r="AY12" s="33">
        <f t="shared" si="6"/>
        <v>0.59029860477246066</v>
      </c>
      <c r="AZ12" s="33">
        <f t="shared" si="6"/>
        <v>0.62077884753556545</v>
      </c>
      <c r="BA12" s="91">
        <f t="shared" si="6"/>
        <v>0.6008368799399163</v>
      </c>
      <c r="BB12" s="33">
        <f t="shared" si="6"/>
        <v>0.61746361746361755</v>
      </c>
      <c r="BC12" s="33">
        <f t="shared" si="6"/>
        <v>0.59679408138101109</v>
      </c>
      <c r="BD12" s="33">
        <f t="shared" si="6"/>
        <v>0.57604101711355926</v>
      </c>
      <c r="BE12" s="54">
        <f t="shared" si="6"/>
        <v>0.57434944237918206</v>
      </c>
      <c r="BF12" s="91">
        <f t="shared" si="6"/>
        <v>0.58754647985701669</v>
      </c>
      <c r="BG12" s="54">
        <f t="shared" si="6"/>
        <v>0.55570117955439058</v>
      </c>
      <c r="BH12" s="54">
        <f t="shared" ref="BH12:BO12" si="7">-BH11/BH5</f>
        <v>0.56593680019905457</v>
      </c>
      <c r="BI12" s="54">
        <f t="shared" si="7"/>
        <v>0.56509892961401231</v>
      </c>
      <c r="BJ12" s="54">
        <f t="shared" si="7"/>
        <v>0.56249538029418278</v>
      </c>
      <c r="BK12" s="91">
        <f t="shared" si="7"/>
        <v>0.56235899137358991</v>
      </c>
      <c r="BL12" s="54">
        <f t="shared" si="7"/>
        <v>0.54287991172684369</v>
      </c>
      <c r="BM12" s="54">
        <f t="shared" si="7"/>
        <v>0.54407522787585083</v>
      </c>
      <c r="BN12" s="54">
        <f t="shared" si="7"/>
        <v>0.53709234989332522</v>
      </c>
      <c r="BO12" s="54">
        <f t="shared" si="7"/>
        <v>0.53628823224468636</v>
      </c>
      <c r="BP12" s="91">
        <f t="shared" ref="BP12:BU12" si="8">-BP11/BP5</f>
        <v>0.54019302425019855</v>
      </c>
      <c r="BQ12" s="54">
        <f t="shared" si="8"/>
        <v>0.53509990383587991</v>
      </c>
      <c r="BR12" s="54">
        <f t="shared" si="8"/>
        <v>0.51959232139323175</v>
      </c>
      <c r="BS12" s="54">
        <f t="shared" si="8"/>
        <v>0.51151615575807785</v>
      </c>
      <c r="BT12" s="54">
        <f t="shared" si="8"/>
        <v>0.51695331695331692</v>
      </c>
      <c r="BU12" s="91">
        <f t="shared" si="8"/>
        <v>0.52097115187887877</v>
      </c>
      <c r="BV12" s="54">
        <f>-BV11/BV5</f>
        <v>0.48178765176956861</v>
      </c>
      <c r="BW12" s="610">
        <f>-BW11/BW5</f>
        <v>0.49057327896378028</v>
      </c>
      <c r="BX12" s="617">
        <f>-BX11/BX5</f>
        <v>0.49346895670057256</v>
      </c>
      <c r="BY12" s="54">
        <f>-BY11/BY5</f>
        <v>0.50784302621892519</v>
      </c>
      <c r="BZ12" s="91">
        <f t="shared" ref="BZ12" si="9">-BZ11/BZ5</f>
        <v>0.49303889255108763</v>
      </c>
      <c r="CA12" s="54">
        <f>+BV12+CA13/10000</f>
        <v>0.47878765176956861</v>
      </c>
      <c r="CB12" s="54">
        <f>+BW12+CB13/10000</f>
        <v>0.48007327896378027</v>
      </c>
      <c r="CC12" s="54">
        <f>+BX12+CC13/10000</f>
        <v>0.48046895670057255</v>
      </c>
      <c r="CD12" s="54">
        <f>-CD11/CD5</f>
        <v>0.49606017934234431</v>
      </c>
      <c r="CE12" s="91">
        <f>+BZ12+CE13/10000</f>
        <v>0.48353889255108762</v>
      </c>
      <c r="CF12" s="54">
        <f>+CA12+CF13/10000</f>
        <v>0.4697876517695686</v>
      </c>
      <c r="CG12" s="54">
        <f>+CB12+CG13/10000</f>
        <v>0.47107327896378026</v>
      </c>
      <c r="CH12" s="54">
        <f>+CC12+CH13/10000</f>
        <v>0.47146895670057254</v>
      </c>
      <c r="CI12" s="54">
        <f>-CI11/CI5</f>
        <v>0.48710283577784358</v>
      </c>
      <c r="CJ12" s="91">
        <f>+CE12+CJ13/10000</f>
        <v>0.47453889255108761</v>
      </c>
      <c r="CK12" s="54">
        <f>+CF12+CK13/10000</f>
        <v>0.4657876517695686</v>
      </c>
      <c r="CL12" s="54">
        <f>+CG12+CL13/10000</f>
        <v>0.46707327896378026</v>
      </c>
      <c r="CM12" s="54">
        <f>+CH12+CM13/10000</f>
        <v>0.46746895670057254</v>
      </c>
      <c r="CN12" s="54">
        <f>-CN11/CN5</f>
        <v>0.48313119415858419</v>
      </c>
      <c r="CO12" s="91">
        <f>+CJ12+CO13/10000</f>
        <v>0.47053889255108761</v>
      </c>
      <c r="CP12" s="54">
        <f>+CK12+CP13/10000</f>
        <v>0.4632876517695686</v>
      </c>
      <c r="CQ12" s="54">
        <f>+CL12+CQ13/10000</f>
        <v>0.46457327896378026</v>
      </c>
      <c r="CR12" s="54">
        <f>+CM12+CR13/10000</f>
        <v>0.46496895670057253</v>
      </c>
      <c r="CS12" s="54">
        <f>-CS11/CS5</f>
        <v>0.48065353390411047</v>
      </c>
      <c r="CT12" s="91">
        <f>+CO12+CT13/10000</f>
        <v>0.4680388925510876</v>
      </c>
      <c r="CU12" s="54">
        <f>+CP12+CU13/10000</f>
        <v>0.4607876517695686</v>
      </c>
      <c r="CV12" s="54">
        <f>+CQ12+CV13/10000</f>
        <v>0.46207327896378025</v>
      </c>
      <c r="CW12" s="54">
        <f>+CR12+CW13/10000</f>
        <v>0.46246895670057253</v>
      </c>
      <c r="CX12" s="54">
        <f>-CX11/CX5</f>
        <v>0.47817382423394089</v>
      </c>
      <c r="CY12" s="91">
        <f>+CT12+CY13/10000</f>
        <v>0.4655388925510876</v>
      </c>
      <c r="CZ12" s="33"/>
      <c r="DB12" s="748"/>
      <c r="DC12" s="748"/>
      <c r="DD12" s="778"/>
      <c r="DG12" s="748"/>
      <c r="DH12" s="748"/>
      <c r="DI12" s="779"/>
      <c r="DJ12" s="730"/>
      <c r="DK12" s="730"/>
      <c r="DL12" s="730"/>
      <c r="DM12" s="730"/>
      <c r="DN12" s="730"/>
      <c r="DU12" s="48"/>
      <c r="DV12" s="48"/>
      <c r="DW12" s="730"/>
      <c r="DX12" s="730"/>
      <c r="DY12" s="730"/>
      <c r="DZ12" s="859"/>
      <c r="EA12" s="859"/>
      <c r="EB12" s="860"/>
    </row>
    <row r="13" spans="1:137" x14ac:dyDescent="0.2">
      <c r="A13" s="109"/>
      <c r="B13" s="48" t="s">
        <v>62</v>
      </c>
      <c r="C13" s="110"/>
      <c r="D13" s="111"/>
      <c r="E13" s="111"/>
      <c r="F13" s="111"/>
      <c r="G13" s="111"/>
      <c r="H13" s="112"/>
      <c r="I13" s="111">
        <f t="shared" ref="I13:BD13" si="10">+(I12-D12)*10000</f>
        <v>41.253529312869077</v>
      </c>
      <c r="J13" s="111">
        <f t="shared" si="10"/>
        <v>120.78598466799484</v>
      </c>
      <c r="K13" s="111">
        <f t="shared" si="10"/>
        <v>1.1967654763278546</v>
      </c>
      <c r="L13" s="111">
        <f t="shared" si="10"/>
        <v>-159.19219003629692</v>
      </c>
      <c r="M13" s="112">
        <f t="shared" si="10"/>
        <v>2.3235629196816099</v>
      </c>
      <c r="N13" s="111">
        <f t="shared" si="10"/>
        <v>-142.79601343219929</v>
      </c>
      <c r="O13" s="111">
        <f t="shared" si="10"/>
        <v>-190.88231361838126</v>
      </c>
      <c r="P13" s="111">
        <f t="shared" si="10"/>
        <v>-265.42789341230224</v>
      </c>
      <c r="Q13" s="111">
        <f t="shared" si="10"/>
        <v>48.120609290960289</v>
      </c>
      <c r="R13" s="112">
        <f t="shared" si="10"/>
        <v>-143.61083982967759</v>
      </c>
      <c r="S13" s="111">
        <f t="shared" si="10"/>
        <v>94.498438471024571</v>
      </c>
      <c r="T13" s="111">
        <f t="shared" si="10"/>
        <v>10.465017933004583</v>
      </c>
      <c r="U13" s="111">
        <f t="shared" si="10"/>
        <v>50.102813132553159</v>
      </c>
      <c r="V13" s="111">
        <f t="shared" si="10"/>
        <v>-266.15404057733991</v>
      </c>
      <c r="W13" s="112">
        <f t="shared" si="10"/>
        <v>-25.396105807512505</v>
      </c>
      <c r="X13" s="111">
        <f t="shared" si="10"/>
        <v>-248.64531635242716</v>
      </c>
      <c r="Y13" s="111">
        <f t="shared" si="10"/>
        <v>-536.63225873249121</v>
      </c>
      <c r="Z13" s="111">
        <f t="shared" si="10"/>
        <v>-524.62897878165052</v>
      </c>
      <c r="AA13" s="111">
        <f t="shared" si="10"/>
        <v>-637.20433346867833</v>
      </c>
      <c r="AB13" s="112">
        <f t="shared" si="10"/>
        <v>-486.55211713478531</v>
      </c>
      <c r="AC13" s="111">
        <f t="shared" si="10"/>
        <v>-609.78936577087302</v>
      </c>
      <c r="AD13" s="111">
        <f t="shared" si="10"/>
        <v>-243.66812728317643</v>
      </c>
      <c r="AE13" s="111">
        <f t="shared" si="10"/>
        <v>-370.25087634810939</v>
      </c>
      <c r="AF13" s="111">
        <f t="shared" si="10"/>
        <v>395.0537378774377</v>
      </c>
      <c r="AG13" s="112">
        <f t="shared" si="10"/>
        <v>-228.39428197618082</v>
      </c>
      <c r="AH13" s="111">
        <f t="shared" si="10"/>
        <v>153.27660764275163</v>
      </c>
      <c r="AI13" s="111">
        <f t="shared" si="10"/>
        <v>55.920807880006642</v>
      </c>
      <c r="AJ13" s="111">
        <f t="shared" si="10"/>
        <v>462.72526788576187</v>
      </c>
      <c r="AK13" s="111">
        <f t="shared" si="10"/>
        <v>142.27797905261852</v>
      </c>
      <c r="AL13" s="112">
        <f t="shared" si="10"/>
        <v>215.37607656518355</v>
      </c>
      <c r="AM13" s="111">
        <f t="shared" si="10"/>
        <v>35.167673267724183</v>
      </c>
      <c r="AN13" s="111">
        <f t="shared" si="10"/>
        <v>58.056078664270316</v>
      </c>
      <c r="AO13" s="111">
        <f t="shared" si="10"/>
        <v>-116.23285115530346</v>
      </c>
      <c r="AP13" s="111">
        <f t="shared" si="10"/>
        <v>-366.13607661176383</v>
      </c>
      <c r="AQ13" s="112">
        <f t="shared" si="10"/>
        <v>-87.260867257030753</v>
      </c>
      <c r="AR13" s="111">
        <f t="shared" si="10"/>
        <v>-500.069208647832</v>
      </c>
      <c r="AS13" s="111">
        <f t="shared" si="10"/>
        <v>-451.96463315075209</v>
      </c>
      <c r="AT13" s="113">
        <f t="shared" si="10"/>
        <v>-396.07654644315039</v>
      </c>
      <c r="AU13" s="113">
        <f t="shared" si="10"/>
        <v>-353.0340204602511</v>
      </c>
      <c r="AV13" s="112">
        <f t="shared" si="10"/>
        <v>-422.75550162799601</v>
      </c>
      <c r="AW13" s="113">
        <f t="shared" si="10"/>
        <v>-6.2649948508330944</v>
      </c>
      <c r="AX13" s="113">
        <f t="shared" si="10"/>
        <v>-1.3683749608750517</v>
      </c>
      <c r="AY13" s="113">
        <f t="shared" si="10"/>
        <v>-48.205617752772326</v>
      </c>
      <c r="AZ13" s="113">
        <f t="shared" si="10"/>
        <v>124.3622693375046</v>
      </c>
      <c r="BA13" s="112">
        <f t="shared" si="10"/>
        <v>16.958634760652068</v>
      </c>
      <c r="BB13" s="113">
        <f t="shared" si="10"/>
        <v>134.93863210309431</v>
      </c>
      <c r="BC13" s="113">
        <f t="shared" si="10"/>
        <v>71.018838147978158</v>
      </c>
      <c r="BD13" s="113">
        <f t="shared" si="10"/>
        <v>-142.57587658901394</v>
      </c>
      <c r="BE13" s="111">
        <f>(BE12-AZ12)*10000</f>
        <v>-464.29405156383388</v>
      </c>
      <c r="BF13" s="112">
        <f>+(BF12-BA12)*10000</f>
        <v>-132.90400082899612</v>
      </c>
      <c r="BG13" s="111">
        <f>(BG12-BB12)*10000</f>
        <v>-617.62437909226969</v>
      </c>
      <c r="BH13" s="111">
        <f>(BH12-BC12)*10000</f>
        <v>-308.57281181956517</v>
      </c>
      <c r="BI13" s="111">
        <f>(BI12-BD12)*10000</f>
        <v>-109.42087499546949</v>
      </c>
      <c r="BJ13" s="111">
        <f>(BJ12-BE12)*10000</f>
        <v>-118.54062084999283</v>
      </c>
      <c r="BK13" s="112">
        <f>+(BK12-BF12)*10000</f>
        <v>-251.87488483426779</v>
      </c>
      <c r="BL13" s="111">
        <f>(BL12-BG12)*10000</f>
        <v>-128.2126782754689</v>
      </c>
      <c r="BM13" s="111">
        <f>(BM12-BH12)*10000</f>
        <v>-218.61572323203737</v>
      </c>
      <c r="BN13" s="111">
        <f>(BN12-BI12)*10000</f>
        <v>-280.06579720687097</v>
      </c>
      <c r="BO13" s="111">
        <f>(BO12-BJ12)*10000</f>
        <v>-262.07148049496419</v>
      </c>
      <c r="BP13" s="112">
        <f>+(BP12-BK12)*10000</f>
        <v>-221.65967123391363</v>
      </c>
      <c r="BQ13" s="111">
        <f>(BQ12-BL12)*10000</f>
        <v>-77.800078909637804</v>
      </c>
      <c r="BR13" s="111">
        <f>(BR12-BM12)*10000</f>
        <v>-244.82906482619083</v>
      </c>
      <c r="BS13" s="111">
        <f>(BS12-BN12)*10000</f>
        <v>-255.76194135247366</v>
      </c>
      <c r="BT13" s="111">
        <f>(BT12-BO12)*10000</f>
        <v>-193.34915291369435</v>
      </c>
      <c r="BU13" s="112">
        <f>+(BU12-BP12)*10000</f>
        <v>-192.21872371319782</v>
      </c>
      <c r="BV13" s="111">
        <f>(BV12-BQ12)*10000</f>
        <v>-533.12252066311294</v>
      </c>
      <c r="BW13" s="111">
        <f>(BW12-BR12)*10000</f>
        <v>-290.19042429451468</v>
      </c>
      <c r="BX13" s="111">
        <f>(BX12-BS12)*10000</f>
        <v>-180.47199057505293</v>
      </c>
      <c r="BY13" s="111">
        <f>(BY12-BT12)*10000</f>
        <v>-91.102907343917352</v>
      </c>
      <c r="BZ13" s="112">
        <f>+(BZ12-BU12)*10000</f>
        <v>-279.32259327791144</v>
      </c>
      <c r="CA13" s="114">
        <v>-30</v>
      </c>
      <c r="CB13" s="114">
        <v>-105</v>
      </c>
      <c r="CC13" s="114">
        <v>-130</v>
      </c>
      <c r="CD13" s="111">
        <f>(CD12-BY12)*10000</f>
        <v>-117.82846876580876</v>
      </c>
      <c r="CE13" s="115">
        <v>-95</v>
      </c>
      <c r="CF13" s="114">
        <f>CJ13</f>
        <v>-90</v>
      </c>
      <c r="CG13" s="114">
        <f>CJ13</f>
        <v>-90</v>
      </c>
      <c r="CH13" s="114">
        <f>CJ13</f>
        <v>-90</v>
      </c>
      <c r="CI13" s="111">
        <f>(CI12-CD12)*10000</f>
        <v>-89.573435645007308</v>
      </c>
      <c r="CJ13" s="115">
        <v>-90</v>
      </c>
      <c r="CK13" s="114">
        <f>CO13</f>
        <v>-40</v>
      </c>
      <c r="CL13" s="114">
        <f>CO13</f>
        <v>-40</v>
      </c>
      <c r="CM13" s="114">
        <f>CO13</f>
        <v>-40</v>
      </c>
      <c r="CN13" s="111">
        <f>(CN12-CI12)*10000</f>
        <v>-39.716416192593918</v>
      </c>
      <c r="CO13" s="115">
        <v>-40</v>
      </c>
      <c r="CP13" s="114">
        <f>CT13</f>
        <v>-25</v>
      </c>
      <c r="CQ13" s="114">
        <f>CT13</f>
        <v>-25</v>
      </c>
      <c r="CR13" s="114">
        <f>CT13</f>
        <v>-25</v>
      </c>
      <c r="CS13" s="111">
        <f>(CS12-CN12)*10000</f>
        <v>-24.776602544737123</v>
      </c>
      <c r="CT13" s="115">
        <v>-25</v>
      </c>
      <c r="CU13" s="114">
        <f>CY13</f>
        <v>-25</v>
      </c>
      <c r="CV13" s="114">
        <f>CY13</f>
        <v>-25</v>
      </c>
      <c r="CW13" s="114">
        <f>CY13</f>
        <v>-25</v>
      </c>
      <c r="CX13" s="111">
        <f>(CX12-CS12)*10000</f>
        <v>-24.797096701695832</v>
      </c>
      <c r="CY13" s="115">
        <v>-25</v>
      </c>
      <c r="CZ13" s="113"/>
      <c r="DA13" s="780"/>
      <c r="DB13" s="781"/>
      <c r="DC13" s="781"/>
      <c r="DD13" s="782"/>
      <c r="DE13" s="783"/>
      <c r="DF13" s="784"/>
      <c r="DG13" s="781"/>
      <c r="DH13" s="781"/>
      <c r="DI13" s="785"/>
      <c r="DJ13" s="786"/>
      <c r="DK13" s="786"/>
      <c r="DL13" s="786"/>
      <c r="DM13" s="786"/>
      <c r="DN13" s="786"/>
      <c r="DU13" s="110"/>
      <c r="DV13" s="110"/>
      <c r="DW13" s="786"/>
      <c r="DX13" s="786"/>
      <c r="DZ13" s="931"/>
      <c r="EA13" s="931"/>
      <c r="EB13" s="931"/>
    </row>
    <row r="14" spans="1:137" ht="16.5" customHeight="1" x14ac:dyDescent="0.2">
      <c r="A14" s="48"/>
      <c r="B14" s="48"/>
      <c r="C14" s="48"/>
      <c r="D14" s="99"/>
      <c r="E14" s="100"/>
      <c r="F14" s="100"/>
      <c r="G14" s="100"/>
      <c r="H14" s="101"/>
      <c r="I14" s="100"/>
      <c r="J14" s="100"/>
      <c r="K14" s="100"/>
      <c r="L14" s="100"/>
      <c r="M14" s="101"/>
      <c r="N14" s="100"/>
      <c r="O14" s="100"/>
      <c r="P14" s="100"/>
      <c r="Q14" s="100"/>
      <c r="R14" s="101"/>
      <c r="S14" s="100"/>
      <c r="T14" s="100"/>
      <c r="U14" s="100"/>
      <c r="V14" s="100"/>
      <c r="W14" s="101"/>
      <c r="X14" s="100"/>
      <c r="Y14" s="100"/>
      <c r="Z14" s="100"/>
      <c r="AA14" s="100"/>
      <c r="AB14" s="101"/>
      <c r="AC14" s="100"/>
      <c r="AD14" s="100"/>
      <c r="AE14" s="100"/>
      <c r="AF14" s="100"/>
      <c r="AG14" s="101"/>
      <c r="AH14" s="100"/>
      <c r="AI14" s="100"/>
      <c r="AJ14" s="100"/>
      <c r="AK14" s="100"/>
      <c r="AL14" s="101"/>
      <c r="AM14" s="100"/>
      <c r="AN14" s="100"/>
      <c r="AO14" s="100"/>
      <c r="AP14" s="100"/>
      <c r="AQ14" s="101"/>
      <c r="AR14" s="100"/>
      <c r="AS14" s="100"/>
      <c r="AT14" s="102"/>
      <c r="AU14" s="100"/>
      <c r="AV14" s="101"/>
      <c r="AW14" s="100"/>
      <c r="AX14" s="100"/>
      <c r="AY14" s="100"/>
      <c r="AZ14" s="100"/>
      <c r="BA14" s="101"/>
      <c r="BB14" s="100"/>
      <c r="BC14" s="100"/>
      <c r="BD14" s="100"/>
      <c r="BE14" s="100"/>
      <c r="BF14" s="101"/>
      <c r="BG14" s="100"/>
      <c r="BH14" s="100"/>
      <c r="BI14" s="100"/>
      <c r="BJ14" s="100"/>
      <c r="BK14" s="101"/>
      <c r="BL14" s="100"/>
      <c r="BM14" s="100"/>
      <c r="BN14" s="139"/>
      <c r="BO14" s="100"/>
      <c r="BP14" s="101"/>
      <c r="BQ14" s="100"/>
      <c r="BR14" s="100"/>
      <c r="BS14" s="139"/>
      <c r="BT14" s="593"/>
      <c r="BU14" s="101"/>
      <c r="BV14" s="100"/>
      <c r="BW14" s="100"/>
      <c r="BX14" s="100"/>
      <c r="BY14" s="100"/>
      <c r="BZ14" s="101"/>
      <c r="CA14" s="100"/>
      <c r="CB14" s="100"/>
      <c r="CC14" s="100"/>
      <c r="CD14" s="100"/>
      <c r="CE14" s="101"/>
      <c r="CF14" s="100"/>
      <c r="CG14" s="100"/>
      <c r="CH14" s="100"/>
      <c r="CI14" s="100"/>
      <c r="CJ14" s="101"/>
      <c r="CK14" s="100"/>
      <c r="CL14" s="100"/>
      <c r="CM14" s="100"/>
      <c r="CN14" s="100"/>
      <c r="CO14" s="101"/>
      <c r="CP14" s="100"/>
      <c r="CQ14" s="100"/>
      <c r="CR14" s="100"/>
      <c r="CS14" s="100"/>
      <c r="CT14" s="101"/>
      <c r="CU14" s="100"/>
      <c r="CV14" s="100"/>
      <c r="CW14" s="100"/>
      <c r="CX14" s="100"/>
      <c r="CY14" s="101"/>
      <c r="CZ14" s="103"/>
      <c r="DB14" s="776"/>
      <c r="DC14" s="776"/>
      <c r="DG14" s="776"/>
      <c r="DH14" s="776"/>
      <c r="DI14" s="730"/>
      <c r="DJ14" s="730"/>
      <c r="DK14" s="730"/>
      <c r="DL14" s="730"/>
      <c r="DM14" s="730"/>
      <c r="DN14" s="730"/>
      <c r="DU14" s="48"/>
      <c r="DV14" s="48"/>
      <c r="DW14" s="730"/>
      <c r="DX14" s="730"/>
      <c r="DY14" s="730"/>
      <c r="DZ14" s="748"/>
      <c r="EA14" s="773"/>
      <c r="EB14" s="9"/>
    </row>
    <row r="15" spans="1:137" x14ac:dyDescent="0.2">
      <c r="A15" s="78" t="s">
        <v>63</v>
      </c>
      <c r="B15" s="78"/>
      <c r="C15" s="78"/>
      <c r="D15" s="84">
        <v>214.60199999999998</v>
      </c>
      <c r="E15" s="84">
        <v>266.37599999999998</v>
      </c>
      <c r="F15" s="84">
        <v>285.33600000000001</v>
      </c>
      <c r="G15" s="84">
        <v>237.24600000000001</v>
      </c>
      <c r="H15" s="85">
        <v>1003.56</v>
      </c>
      <c r="I15" s="84">
        <f>+M15-L15-K15-J15</f>
        <v>253.68100000000004</v>
      </c>
      <c r="J15" s="84">
        <v>290.65499999999997</v>
      </c>
      <c r="K15" s="84">
        <v>313.66399999999999</v>
      </c>
      <c r="L15" s="84">
        <v>298.8</v>
      </c>
      <c r="M15" s="85">
        <v>1156.8</v>
      </c>
      <c r="N15" s="84">
        <f t="shared" ref="N15:AS15" si="11">N5+N11</f>
        <v>315.63499999999988</v>
      </c>
      <c r="O15" s="84">
        <f t="shared" si="11"/>
        <v>356.85900000000004</v>
      </c>
      <c r="P15" s="84">
        <f t="shared" si="11"/>
        <v>399.70000000000016</v>
      </c>
      <c r="Q15" s="84">
        <f t="shared" si="11"/>
        <v>296.70000000000005</v>
      </c>
      <c r="R15" s="85">
        <f t="shared" si="11"/>
        <v>1368.9</v>
      </c>
      <c r="S15" s="84">
        <f t="shared" si="11"/>
        <v>321.80000000000007</v>
      </c>
      <c r="T15" s="84">
        <f t="shared" si="11"/>
        <v>422.9</v>
      </c>
      <c r="U15" s="84">
        <f t="shared" si="11"/>
        <v>465.89999999999986</v>
      </c>
      <c r="V15" s="84">
        <f t="shared" si="11"/>
        <v>353.79999999999984</v>
      </c>
      <c r="W15" s="85">
        <f t="shared" si="11"/>
        <v>1564.3999999999996</v>
      </c>
      <c r="X15" s="84">
        <f t="shared" si="11"/>
        <v>273.30000000000007</v>
      </c>
      <c r="Y15" s="84">
        <f t="shared" si="11"/>
        <v>314.20000000000005</v>
      </c>
      <c r="Z15" s="84">
        <f t="shared" si="11"/>
        <v>397.29999999999995</v>
      </c>
      <c r="AA15" s="84">
        <f t="shared" si="11"/>
        <v>330.29999999999995</v>
      </c>
      <c r="AB15" s="85">
        <f t="shared" si="11"/>
        <v>1315.1</v>
      </c>
      <c r="AC15" s="84">
        <f t="shared" si="11"/>
        <v>339.40000000000009</v>
      </c>
      <c r="AD15" s="84">
        <f t="shared" si="11"/>
        <v>360</v>
      </c>
      <c r="AE15" s="84">
        <f t="shared" si="11"/>
        <v>412.39999999999986</v>
      </c>
      <c r="AF15" s="84">
        <f t="shared" si="11"/>
        <v>245.5</v>
      </c>
      <c r="AG15" s="85">
        <f t="shared" si="11"/>
        <v>1357.2999999999997</v>
      </c>
      <c r="AH15" s="84">
        <f t="shared" si="11"/>
        <v>276.20000000000005</v>
      </c>
      <c r="AI15" s="84">
        <f t="shared" si="11"/>
        <v>325.10000000000002</v>
      </c>
      <c r="AJ15" s="84">
        <f t="shared" si="11"/>
        <v>349.29999999999995</v>
      </c>
      <c r="AK15" s="84">
        <f t="shared" si="11"/>
        <v>226.60000000000002</v>
      </c>
      <c r="AL15" s="85">
        <f t="shared" si="11"/>
        <v>1177.2000000000003</v>
      </c>
      <c r="AM15" s="84">
        <f t="shared" si="11"/>
        <v>272</v>
      </c>
      <c r="AN15" s="84">
        <f t="shared" si="11"/>
        <v>314.89999999999998</v>
      </c>
      <c r="AO15" s="84">
        <f t="shared" si="11"/>
        <v>353</v>
      </c>
      <c r="AP15" s="84">
        <f t="shared" si="11"/>
        <v>254.89999999999998</v>
      </c>
      <c r="AQ15" s="85">
        <f t="shared" si="11"/>
        <v>1194.7999999999997</v>
      </c>
      <c r="AR15" s="84">
        <f t="shared" si="11"/>
        <v>251.19999999999993</v>
      </c>
      <c r="AS15" s="84">
        <f t="shared" si="11"/>
        <v>283.10000000000002</v>
      </c>
      <c r="AT15" s="86">
        <f t="shared" ref="AT15:BS15" si="12">AT5+AT11</f>
        <v>283.70000000000005</v>
      </c>
      <c r="AU15" s="84">
        <f t="shared" si="12"/>
        <v>246</v>
      </c>
      <c r="AV15" s="85">
        <f t="shared" si="12"/>
        <v>1064</v>
      </c>
      <c r="AW15" s="84">
        <f t="shared" si="12"/>
        <v>251.39999999999998</v>
      </c>
      <c r="AX15" s="84">
        <f t="shared" si="12"/>
        <v>286.60000000000002</v>
      </c>
      <c r="AY15" s="84">
        <f t="shared" si="12"/>
        <v>314.19999999999993</v>
      </c>
      <c r="AZ15" s="84">
        <f t="shared" si="12"/>
        <v>263.89999999999998</v>
      </c>
      <c r="BA15" s="85">
        <f t="shared" si="12"/>
        <v>1116.0999999999999</v>
      </c>
      <c r="BB15" s="84">
        <f t="shared" si="12"/>
        <v>257.59999999999997</v>
      </c>
      <c r="BC15" s="84">
        <f t="shared" si="12"/>
        <v>588.6</v>
      </c>
      <c r="BD15" s="84">
        <f t="shared" si="12"/>
        <v>611.9</v>
      </c>
      <c r="BE15" s="84">
        <f t="shared" si="12"/>
        <v>549.60000000000014</v>
      </c>
      <c r="BF15" s="85">
        <f t="shared" si="12"/>
        <v>2007.6999999999998</v>
      </c>
      <c r="BG15" s="84">
        <f>BG5+BG11</f>
        <v>678</v>
      </c>
      <c r="BH15" s="84">
        <f>BH5+BH11</f>
        <v>697.79999999999984</v>
      </c>
      <c r="BI15" s="84">
        <f>BI5+BI11</f>
        <v>670.40000000000009</v>
      </c>
      <c r="BJ15" s="84">
        <f>BJ5+BJ11</f>
        <v>591.90000000000009</v>
      </c>
      <c r="BK15" s="85">
        <f t="shared" si="12"/>
        <v>2638.1</v>
      </c>
      <c r="BL15" s="84">
        <f t="shared" ref="BL15:BQ15" si="13">BL5+BL11</f>
        <v>745.69999999999993</v>
      </c>
      <c r="BM15" s="84">
        <f t="shared" si="13"/>
        <v>790.30000000000018</v>
      </c>
      <c r="BN15" s="84">
        <f>BN5+BN11</f>
        <v>759.4</v>
      </c>
      <c r="BO15" s="84">
        <f t="shared" si="13"/>
        <v>715.6</v>
      </c>
      <c r="BP15" s="85">
        <f t="shared" si="13"/>
        <v>3011</v>
      </c>
      <c r="BQ15" s="84">
        <f t="shared" si="13"/>
        <v>870.19999999999993</v>
      </c>
      <c r="BR15" s="84">
        <f t="shared" si="12"/>
        <v>971</v>
      </c>
      <c r="BS15" s="84">
        <f t="shared" si="12"/>
        <v>884.4</v>
      </c>
      <c r="BT15" s="84">
        <f t="shared" ref="BT15:BZ15" si="14">BT5+BT11</f>
        <v>786.40000000000009</v>
      </c>
      <c r="BU15" s="85">
        <f t="shared" si="14"/>
        <v>3512</v>
      </c>
      <c r="BV15" s="84">
        <f t="shared" si="14"/>
        <v>1003</v>
      </c>
      <c r="BW15" s="84">
        <f t="shared" si="14"/>
        <v>1061.9000000000001</v>
      </c>
      <c r="BX15" s="84">
        <f t="shared" si="14"/>
        <v>911.29999999999984</v>
      </c>
      <c r="BY15" s="84">
        <f t="shared" si="14"/>
        <v>869.10000000000014</v>
      </c>
      <c r="BZ15" s="85">
        <f t="shared" si="14"/>
        <v>3845.3</v>
      </c>
      <c r="CA15" s="84">
        <f t="shared" ref="CA15:CY15" si="15">CA5+CA11</f>
        <v>1079.227245105666</v>
      </c>
      <c r="CB15" s="84">
        <f t="shared" si="15"/>
        <v>1173.6058191259222</v>
      </c>
      <c r="CC15" s="84">
        <f t="shared" si="15"/>
        <v>1025.8851680152507</v>
      </c>
      <c r="CD15" s="84">
        <f t="shared" si="15"/>
        <v>954.76065959878008</v>
      </c>
      <c r="CE15" s="85">
        <f t="shared" si="15"/>
        <v>4233.4788918456179</v>
      </c>
      <c r="CF15" s="84">
        <f t="shared" si="15"/>
        <v>1170.9610772692085</v>
      </c>
      <c r="CG15" s="84">
        <f t="shared" si="15"/>
        <v>1273.2031332315144</v>
      </c>
      <c r="CH15" s="84">
        <f t="shared" si="15"/>
        <v>1108.6371664470512</v>
      </c>
      <c r="CI15" s="84">
        <f t="shared" si="15"/>
        <v>1031.7866668479594</v>
      </c>
      <c r="CJ15" s="85">
        <f t="shared" si="15"/>
        <v>4584.5880437957339</v>
      </c>
      <c r="CK15" s="84">
        <f t="shared" si="15"/>
        <v>1244.3518523861692</v>
      </c>
      <c r="CL15" s="84">
        <f t="shared" si="15"/>
        <v>1352.877890174294</v>
      </c>
      <c r="CM15" s="84">
        <f t="shared" si="15"/>
        <v>1174.9879809723191</v>
      </c>
      <c r="CN15" s="84">
        <f t="shared" si="15"/>
        <v>1093.4139684648105</v>
      </c>
      <c r="CO15" s="85">
        <f t="shared" si="15"/>
        <v>4865.6316919975934</v>
      </c>
      <c r="CP15" s="84">
        <f t="shared" si="15"/>
        <v>1312.359625850951</v>
      </c>
      <c r="CQ15" s="84">
        <f t="shared" si="15"/>
        <v>1426.7100723064086</v>
      </c>
      <c r="CR15" s="84">
        <f t="shared" si="15"/>
        <v>1236.6099942365033</v>
      </c>
      <c r="CS15" s="84">
        <f t="shared" si="15"/>
        <v>1150.6106832082694</v>
      </c>
      <c r="CT15" s="85">
        <f t="shared" si="15"/>
        <v>5126.2903756021342</v>
      </c>
      <c r="CU15" s="84">
        <f t="shared" si="15"/>
        <v>1378.6221350713829</v>
      </c>
      <c r="CV15" s="84">
        <f t="shared" si="15"/>
        <v>1498.6461917603074</v>
      </c>
      <c r="CW15" s="84">
        <f t="shared" si="15"/>
        <v>1296.584648877375</v>
      </c>
      <c r="CX15" s="84">
        <f t="shared" si="15"/>
        <v>1206.2888868852415</v>
      </c>
      <c r="CY15" s="85">
        <f t="shared" si="15"/>
        <v>5380.1418625943061</v>
      </c>
      <c r="CZ15" s="86"/>
      <c r="DA15" s="787"/>
      <c r="DB15" s="738"/>
      <c r="DC15" s="738"/>
      <c r="DD15" s="748"/>
      <c r="DE15" s="772"/>
      <c r="DF15" s="7"/>
      <c r="DG15" s="738"/>
      <c r="DH15" s="738"/>
      <c r="DI15" s="773"/>
      <c r="DJ15" s="733"/>
      <c r="DK15" s="733"/>
      <c r="DL15" s="733"/>
      <c r="DM15" s="733"/>
      <c r="DN15" s="733"/>
      <c r="DU15" s="78"/>
      <c r="DV15" s="89"/>
      <c r="DW15" s="739"/>
      <c r="DX15" s="739"/>
      <c r="DY15" s="564"/>
      <c r="DZ15" s="748"/>
      <c r="EA15" s="773"/>
      <c r="EB15" s="748"/>
    </row>
    <row r="16" spans="1:137" x14ac:dyDescent="0.2">
      <c r="A16" s="48"/>
      <c r="B16" s="48" t="s">
        <v>64</v>
      </c>
      <c r="C16" s="48"/>
      <c r="D16" s="90">
        <f t="shared" ref="D16:AI16" si="16">+D15/D5</f>
        <v>0.27769338071071242</v>
      </c>
      <c r="E16" s="90">
        <f t="shared" si="16"/>
        <v>0.29237902057374671</v>
      </c>
      <c r="F16" s="90">
        <f t="shared" si="16"/>
        <v>0.28902160348767481</v>
      </c>
      <c r="G16" s="90">
        <f t="shared" si="16"/>
        <v>0.2720305459048537</v>
      </c>
      <c r="H16" s="98">
        <f t="shared" si="16"/>
        <v>0.28323197612131706</v>
      </c>
      <c r="I16" s="90">
        <f t="shared" si="16"/>
        <v>0.2735680277794254</v>
      </c>
      <c r="J16" s="90">
        <f t="shared" si="16"/>
        <v>0.28030042210694722</v>
      </c>
      <c r="K16" s="90">
        <f t="shared" si="16"/>
        <v>0.28890192694004202</v>
      </c>
      <c r="L16" s="90">
        <f t="shared" si="16"/>
        <v>0.28794976490848345</v>
      </c>
      <c r="M16" s="98">
        <f t="shared" si="16"/>
        <v>0.28299961982934885</v>
      </c>
      <c r="N16" s="90">
        <f t="shared" si="16"/>
        <v>0.28784762912264533</v>
      </c>
      <c r="O16" s="90">
        <f t="shared" si="16"/>
        <v>0.29938865346878546</v>
      </c>
      <c r="P16" s="90">
        <f t="shared" si="16"/>
        <v>0.3154447162812723</v>
      </c>
      <c r="Q16" s="90">
        <f t="shared" si="16"/>
        <v>0.28313770397938737</v>
      </c>
      <c r="R16" s="98">
        <f t="shared" si="16"/>
        <v>0.29736070381231672</v>
      </c>
      <c r="S16" s="90">
        <f t="shared" si="16"/>
        <v>0.27839778527554293</v>
      </c>
      <c r="T16" s="90">
        <f t="shared" si="16"/>
        <v>0.298342151675485</v>
      </c>
      <c r="U16" s="90">
        <f t="shared" si="16"/>
        <v>0.31043443496801698</v>
      </c>
      <c r="V16" s="90">
        <f t="shared" si="16"/>
        <v>0.30975310803712125</v>
      </c>
      <c r="W16" s="98">
        <f t="shared" si="16"/>
        <v>0.29990031439306797</v>
      </c>
      <c r="X16" s="90">
        <f t="shared" si="16"/>
        <v>0.3032623169107857</v>
      </c>
      <c r="Y16" s="90">
        <f t="shared" si="16"/>
        <v>0.35200537754873407</v>
      </c>
      <c r="Z16" s="90">
        <f t="shared" si="16"/>
        <v>0.36289733284618192</v>
      </c>
      <c r="AA16" s="90">
        <f t="shared" si="16"/>
        <v>0.37347354138398908</v>
      </c>
      <c r="AB16" s="98">
        <f t="shared" si="16"/>
        <v>0.3485555261065465</v>
      </c>
      <c r="AC16" s="90">
        <f t="shared" si="16"/>
        <v>0.36424125348787301</v>
      </c>
      <c r="AD16" s="90">
        <f t="shared" si="16"/>
        <v>0.37637219027705177</v>
      </c>
      <c r="AE16" s="90">
        <f t="shared" si="16"/>
        <v>0.39992242048099286</v>
      </c>
      <c r="AF16" s="90">
        <f t="shared" si="16"/>
        <v>0.33396816759624542</v>
      </c>
      <c r="AG16" s="98">
        <f t="shared" si="16"/>
        <v>0.37139495430416453</v>
      </c>
      <c r="AH16" s="90">
        <f t="shared" si="16"/>
        <v>0.34891359272359784</v>
      </c>
      <c r="AI16" s="90">
        <f t="shared" si="16"/>
        <v>0.3707801094890511</v>
      </c>
      <c r="AJ16" s="90">
        <f t="shared" ref="AJ16:BO16" si="17">+AJ15/AJ5</f>
        <v>0.35364989369241673</v>
      </c>
      <c r="AK16" s="90">
        <f t="shared" si="17"/>
        <v>0.31974036969098352</v>
      </c>
      <c r="AL16" s="98">
        <f t="shared" si="17"/>
        <v>0.34985734664764628</v>
      </c>
      <c r="AM16" s="90">
        <f t="shared" si="17"/>
        <v>0.34539682539682542</v>
      </c>
      <c r="AN16" s="90">
        <f t="shared" si="17"/>
        <v>0.36497450162262401</v>
      </c>
      <c r="AO16" s="90">
        <f t="shared" si="17"/>
        <v>0.36527317880794702</v>
      </c>
      <c r="AP16" s="90">
        <f t="shared" si="17"/>
        <v>0.3563539773521599</v>
      </c>
      <c r="AQ16" s="98">
        <f t="shared" si="17"/>
        <v>0.35858343337334925</v>
      </c>
      <c r="AR16" s="90">
        <f t="shared" si="17"/>
        <v>0.39540374626160862</v>
      </c>
      <c r="AS16" s="90">
        <f t="shared" si="17"/>
        <v>0.41017096493769922</v>
      </c>
      <c r="AT16" s="97">
        <f t="shared" si="17"/>
        <v>0.40488083345226206</v>
      </c>
      <c r="AU16" s="90">
        <f t="shared" si="17"/>
        <v>0.39165737939818501</v>
      </c>
      <c r="AV16" s="98">
        <f t="shared" si="17"/>
        <v>0.40085898353614885</v>
      </c>
      <c r="AW16" s="90">
        <f t="shared" si="17"/>
        <v>0.39603024574669188</v>
      </c>
      <c r="AX16" s="90">
        <f t="shared" si="17"/>
        <v>0.41030780243378673</v>
      </c>
      <c r="AY16" s="90">
        <f t="shared" si="17"/>
        <v>0.40970139522753934</v>
      </c>
      <c r="AZ16" s="90">
        <f t="shared" si="17"/>
        <v>0.37922115246443455</v>
      </c>
      <c r="BA16" s="98">
        <f t="shared" si="17"/>
        <v>0.39916312006008364</v>
      </c>
      <c r="BB16" s="90">
        <f t="shared" si="17"/>
        <v>0.3825363825363825</v>
      </c>
      <c r="BC16" s="90">
        <f t="shared" si="17"/>
        <v>0.40320591861898891</v>
      </c>
      <c r="BD16" s="90">
        <f t="shared" si="17"/>
        <v>0.42395898288644079</v>
      </c>
      <c r="BE16" s="90">
        <f t="shared" si="17"/>
        <v>0.42565055762081794</v>
      </c>
      <c r="BF16" s="98">
        <f t="shared" si="17"/>
        <v>0.41245352014298331</v>
      </c>
      <c r="BG16" s="90">
        <f>+BG15/BG5</f>
        <v>0.44429882044560942</v>
      </c>
      <c r="BH16" s="90">
        <f>+BH15/BH5</f>
        <v>0.43406319980094543</v>
      </c>
      <c r="BI16" s="90">
        <f>+BI15/BI5</f>
        <v>0.43490107038598774</v>
      </c>
      <c r="BJ16" s="90">
        <f>+BJ15/BJ5</f>
        <v>0.43750461970581717</v>
      </c>
      <c r="BK16" s="98">
        <f t="shared" si="17"/>
        <v>0.43764100862641009</v>
      </c>
      <c r="BL16" s="90">
        <f>+BL15/BL5</f>
        <v>0.45712008827315637</v>
      </c>
      <c r="BM16" s="90">
        <f>+BM15/BM5</f>
        <v>0.45592477212414917</v>
      </c>
      <c r="BN16" s="90">
        <f t="shared" si="17"/>
        <v>0.46290765010667478</v>
      </c>
      <c r="BO16" s="90">
        <f t="shared" si="17"/>
        <v>0.46371176775531364</v>
      </c>
      <c r="BP16" s="98">
        <f>+BP15/BP5</f>
        <v>0.45980697574980151</v>
      </c>
      <c r="BQ16" s="90">
        <f>+BQ15/BQ5</f>
        <v>0.46490009616412009</v>
      </c>
      <c r="BR16" s="90">
        <f t="shared" ref="BR16:CU16" si="18">+BR15/BR5</f>
        <v>0.48040767860676825</v>
      </c>
      <c r="BS16" s="90">
        <f>+BS15/BS5</f>
        <v>0.48848384424192209</v>
      </c>
      <c r="BT16" s="90">
        <f>+BT15/BT5</f>
        <v>0.48304668304668308</v>
      </c>
      <c r="BU16" s="98">
        <f t="shared" si="18"/>
        <v>0.47902884812112118</v>
      </c>
      <c r="BV16" s="90">
        <f>+BV15/BV5</f>
        <v>0.51821234823043139</v>
      </c>
      <c r="BW16" s="90">
        <f t="shared" si="18"/>
        <v>0.50942672103621978</v>
      </c>
      <c r="BX16" s="90">
        <f>+BX15/BX5</f>
        <v>0.50653104329942744</v>
      </c>
      <c r="BY16" s="90">
        <f>+BY15/BY5</f>
        <v>0.49215697378107487</v>
      </c>
      <c r="BZ16" s="98">
        <f>+BZ15/BZ5</f>
        <v>0.50696110744891232</v>
      </c>
      <c r="CA16" s="90">
        <f t="shared" si="18"/>
        <v>0.52121234823043139</v>
      </c>
      <c r="CB16" s="90">
        <f t="shared" si="18"/>
        <v>0.51992672103621973</v>
      </c>
      <c r="CC16" s="90">
        <f t="shared" si="18"/>
        <v>0.51953104329942745</v>
      </c>
      <c r="CD16" s="90">
        <f t="shared" si="18"/>
        <v>0.50393982065765563</v>
      </c>
      <c r="CE16" s="98">
        <f t="shared" si="18"/>
        <v>0.51646110744891238</v>
      </c>
      <c r="CF16" s="90">
        <f t="shared" si="18"/>
        <v>0.5302123482304314</v>
      </c>
      <c r="CG16" s="90">
        <f t="shared" si="18"/>
        <v>0.52892672103621974</v>
      </c>
      <c r="CH16" s="90">
        <f t="shared" si="18"/>
        <v>0.52853104329942746</v>
      </c>
      <c r="CI16" s="90">
        <f t="shared" si="18"/>
        <v>0.51289716422215637</v>
      </c>
      <c r="CJ16" s="98">
        <f t="shared" si="18"/>
        <v>0.52546110744891239</v>
      </c>
      <c r="CK16" s="90">
        <f t="shared" si="18"/>
        <v>0.5342123482304314</v>
      </c>
      <c r="CL16" s="90">
        <f t="shared" si="18"/>
        <v>0.53292672103621974</v>
      </c>
      <c r="CM16" s="90">
        <f t="shared" si="18"/>
        <v>0.53253104329942746</v>
      </c>
      <c r="CN16" s="90">
        <f t="shared" si="18"/>
        <v>0.51686880584141581</v>
      </c>
      <c r="CO16" s="98">
        <f t="shared" si="18"/>
        <v>0.52946110744891239</v>
      </c>
      <c r="CP16" s="90">
        <f t="shared" si="18"/>
        <v>0.53671234823043135</v>
      </c>
      <c r="CQ16" s="90">
        <f t="shared" si="18"/>
        <v>0.5354267210362198</v>
      </c>
      <c r="CR16" s="90">
        <f t="shared" si="18"/>
        <v>0.53503104329942741</v>
      </c>
      <c r="CS16" s="90">
        <f t="shared" si="18"/>
        <v>0.51934646609588953</v>
      </c>
      <c r="CT16" s="98">
        <f t="shared" si="18"/>
        <v>0.53196110744891245</v>
      </c>
      <c r="CU16" s="90">
        <f t="shared" si="18"/>
        <v>0.5392123482304314</v>
      </c>
      <c r="CV16" s="90">
        <f>+CV15/CV5</f>
        <v>0.53792672103621975</v>
      </c>
      <c r="CW16" s="90">
        <f>+CW15/CW5</f>
        <v>0.53753104329942747</v>
      </c>
      <c r="CX16" s="90">
        <f>+CX15/CX5</f>
        <v>0.52182617576605916</v>
      </c>
      <c r="CY16" s="98">
        <f>+CY15/CY5</f>
        <v>0.5344611074489124</v>
      </c>
      <c r="CZ16" s="97"/>
      <c r="DA16" s="780"/>
      <c r="DB16" s="750"/>
      <c r="DC16" s="750"/>
      <c r="DD16" s="778"/>
      <c r="DE16" s="788"/>
      <c r="DG16" s="750"/>
      <c r="DH16" s="750"/>
      <c r="DI16" s="779"/>
      <c r="DJ16" s="730"/>
      <c r="DK16" s="730"/>
      <c r="DL16" s="730"/>
      <c r="DM16" s="730"/>
      <c r="DN16" s="730"/>
      <c r="DU16" s="48"/>
      <c r="DV16" s="48"/>
      <c r="DW16" s="730"/>
      <c r="DX16" s="730"/>
      <c r="DY16" s="744"/>
      <c r="DZ16" s="748"/>
      <c r="EA16" s="773"/>
      <c r="EB16" s="732"/>
    </row>
    <row r="17" spans="1:171" x14ac:dyDescent="0.2">
      <c r="A17" s="48"/>
      <c r="B17" s="48" t="s">
        <v>65</v>
      </c>
      <c r="C17" s="48"/>
      <c r="D17" s="90"/>
      <c r="E17" s="90"/>
      <c r="F17" s="90"/>
      <c r="G17" s="90"/>
      <c r="H17" s="116"/>
      <c r="I17" s="117">
        <f t="shared" ref="I17:AN17" si="19">+(I16-D16)*10000</f>
        <v>-41.253529312870185</v>
      </c>
      <c r="J17" s="117">
        <f t="shared" si="19"/>
        <v>-120.78598466799484</v>
      </c>
      <c r="K17" s="117">
        <f t="shared" si="19"/>
        <v>-1.1967654763278546</v>
      </c>
      <c r="L17" s="117">
        <f t="shared" si="19"/>
        <v>159.19219003629749</v>
      </c>
      <c r="M17" s="116">
        <f t="shared" si="19"/>
        <v>-2.323562919682165</v>
      </c>
      <c r="N17" s="117">
        <f t="shared" si="19"/>
        <v>142.79601343219929</v>
      </c>
      <c r="O17" s="117">
        <f t="shared" si="19"/>
        <v>190.88231361838237</v>
      </c>
      <c r="P17" s="117">
        <f t="shared" si="19"/>
        <v>265.42789341230275</v>
      </c>
      <c r="Q17" s="117">
        <f t="shared" si="19"/>
        <v>-48.12060929096085</v>
      </c>
      <c r="R17" s="116">
        <f t="shared" si="19"/>
        <v>143.6108398296787</v>
      </c>
      <c r="S17" s="117">
        <f t="shared" si="19"/>
        <v>-94.498438471024016</v>
      </c>
      <c r="T17" s="117">
        <f t="shared" si="19"/>
        <v>-10.465017933004583</v>
      </c>
      <c r="U17" s="117">
        <f t="shared" si="19"/>
        <v>-50.102813132553159</v>
      </c>
      <c r="V17" s="117">
        <f t="shared" si="19"/>
        <v>266.15404057733883</v>
      </c>
      <c r="W17" s="116">
        <f t="shared" si="19"/>
        <v>25.396105807512505</v>
      </c>
      <c r="X17" s="117">
        <f t="shared" si="19"/>
        <v>248.6453163524277</v>
      </c>
      <c r="Y17" s="117">
        <f t="shared" si="19"/>
        <v>536.63225873249064</v>
      </c>
      <c r="Z17" s="117">
        <f t="shared" si="19"/>
        <v>524.62897878164938</v>
      </c>
      <c r="AA17" s="117">
        <f t="shared" si="19"/>
        <v>637.20433346867833</v>
      </c>
      <c r="AB17" s="116">
        <f t="shared" si="19"/>
        <v>486.55211713478531</v>
      </c>
      <c r="AC17" s="117">
        <f t="shared" si="19"/>
        <v>609.78936577087302</v>
      </c>
      <c r="AD17" s="117">
        <f t="shared" si="19"/>
        <v>243.668127283177</v>
      </c>
      <c r="AE17" s="117">
        <f t="shared" si="19"/>
        <v>370.25087634810939</v>
      </c>
      <c r="AF17" s="117">
        <f t="shared" si="19"/>
        <v>-395.05373787743656</v>
      </c>
      <c r="AG17" s="116">
        <f t="shared" si="19"/>
        <v>228.39428197618028</v>
      </c>
      <c r="AH17" s="117">
        <f t="shared" si="19"/>
        <v>-153.27660764275163</v>
      </c>
      <c r="AI17" s="117">
        <f t="shared" si="19"/>
        <v>-55.920807880006642</v>
      </c>
      <c r="AJ17" s="117">
        <f t="shared" si="19"/>
        <v>-462.7252678857613</v>
      </c>
      <c r="AK17" s="117">
        <f t="shared" si="19"/>
        <v>-142.27797905261909</v>
      </c>
      <c r="AL17" s="116">
        <f t="shared" si="19"/>
        <v>-215.37607656518242</v>
      </c>
      <c r="AM17" s="117">
        <f t="shared" si="19"/>
        <v>-35.167673267724183</v>
      </c>
      <c r="AN17" s="117">
        <f t="shared" si="19"/>
        <v>-58.056078664270871</v>
      </c>
      <c r="AO17" s="117">
        <f t="shared" ref="AO17:BT17" si="20">+(AO16-AJ16)*10000</f>
        <v>116.23285115530291</v>
      </c>
      <c r="AP17" s="117">
        <f t="shared" si="20"/>
        <v>366.13607661176383</v>
      </c>
      <c r="AQ17" s="116">
        <f t="shared" si="20"/>
        <v>87.260867257029645</v>
      </c>
      <c r="AR17" s="117">
        <f t="shared" si="20"/>
        <v>500.069208647832</v>
      </c>
      <c r="AS17" s="117">
        <f t="shared" si="20"/>
        <v>451.96463315075209</v>
      </c>
      <c r="AT17" s="118">
        <f t="shared" si="20"/>
        <v>396.07654644315039</v>
      </c>
      <c r="AU17" s="117">
        <f t="shared" si="20"/>
        <v>353.0340204602511</v>
      </c>
      <c r="AV17" s="116">
        <f t="shared" si="20"/>
        <v>422.75550162799601</v>
      </c>
      <c r="AW17" s="117">
        <f t="shared" si="20"/>
        <v>6.2649948508325393</v>
      </c>
      <c r="AX17" s="117">
        <f t="shared" si="20"/>
        <v>1.3683749608750517</v>
      </c>
      <c r="AY17" s="117">
        <f t="shared" si="20"/>
        <v>48.205617752772881</v>
      </c>
      <c r="AZ17" s="117">
        <f t="shared" si="20"/>
        <v>-124.3622693375046</v>
      </c>
      <c r="BA17" s="116">
        <f t="shared" si="20"/>
        <v>-16.958634760652068</v>
      </c>
      <c r="BB17" s="117">
        <f t="shared" si="20"/>
        <v>-134.93863210309377</v>
      </c>
      <c r="BC17" s="117">
        <f t="shared" si="20"/>
        <v>-71.018838147978158</v>
      </c>
      <c r="BD17" s="117">
        <f t="shared" si="20"/>
        <v>142.57587658901448</v>
      </c>
      <c r="BE17" s="117">
        <f t="shared" si="20"/>
        <v>464.29405156383388</v>
      </c>
      <c r="BF17" s="116">
        <f t="shared" si="20"/>
        <v>132.90400082899666</v>
      </c>
      <c r="BG17" s="117">
        <f>+(BG16-BB16)*10000</f>
        <v>617.62437909226924</v>
      </c>
      <c r="BH17" s="117">
        <f>+(BH16-BC16)*10000</f>
        <v>308.57281181956517</v>
      </c>
      <c r="BI17" s="117">
        <f>+(BI16-BD16)*10000</f>
        <v>109.42087499546949</v>
      </c>
      <c r="BJ17" s="117">
        <f>+(BJ16-BE16)*10000</f>
        <v>118.54062084999228</v>
      </c>
      <c r="BK17" s="116">
        <f t="shared" si="20"/>
        <v>251.87488483426779</v>
      </c>
      <c r="BL17" s="117">
        <f>+(BL16-BG16)*10000</f>
        <v>128.21267827546944</v>
      </c>
      <c r="BM17" s="117">
        <f>+(BM16-BH16)*10000</f>
        <v>218.61572323203737</v>
      </c>
      <c r="BN17" s="117">
        <f t="shared" si="20"/>
        <v>280.0657972068704</v>
      </c>
      <c r="BO17" s="117">
        <f t="shared" si="20"/>
        <v>262.07148049496476</v>
      </c>
      <c r="BP17" s="116">
        <f>+(BP16-BK16)*10000</f>
        <v>221.65967123391417</v>
      </c>
      <c r="BQ17" s="117">
        <f>+(BQ16-BL16)*10000</f>
        <v>77.80007890963725</v>
      </c>
      <c r="BR17" s="117">
        <f t="shared" si="20"/>
        <v>244.82906482619083</v>
      </c>
      <c r="BS17" s="117">
        <f>+(BS16-BN16)*10000</f>
        <v>255.76194135247309</v>
      </c>
      <c r="BT17" s="117">
        <f t="shared" si="20"/>
        <v>193.34915291369435</v>
      </c>
      <c r="BU17" s="116">
        <f t="shared" ref="BU17:CY17" si="21">+(BU16-BP16)*10000</f>
        <v>192.21872371319671</v>
      </c>
      <c r="BV17" s="117">
        <f>+(BV16-BQ16)*10000</f>
        <v>533.12252066311294</v>
      </c>
      <c r="BW17" s="117">
        <f t="shared" si="21"/>
        <v>290.19042429451525</v>
      </c>
      <c r="BX17" s="117">
        <f>+(BX16-BS16)*10000</f>
        <v>180.47199057505347</v>
      </c>
      <c r="BY17" s="117">
        <f>+(BY16-BT16)*10000</f>
        <v>91.102907343917906</v>
      </c>
      <c r="BZ17" s="116">
        <f>+(BZ16-BU16)*10000</f>
        <v>279.32259327791144</v>
      </c>
      <c r="CA17" s="117">
        <f t="shared" si="21"/>
        <v>30.000000000000028</v>
      </c>
      <c r="CB17" s="117">
        <f t="shared" si="21"/>
        <v>104.99999999999955</v>
      </c>
      <c r="CC17" s="117">
        <f t="shared" si="21"/>
        <v>130.00000000000011</v>
      </c>
      <c r="CD17" s="117">
        <f t="shared" si="21"/>
        <v>117.82846876580766</v>
      </c>
      <c r="CE17" s="116">
        <f t="shared" si="21"/>
        <v>95.000000000000639</v>
      </c>
      <c r="CF17" s="117">
        <f t="shared" si="21"/>
        <v>90.000000000000085</v>
      </c>
      <c r="CG17" s="117">
        <f t="shared" si="21"/>
        <v>90.000000000000085</v>
      </c>
      <c r="CH17" s="117">
        <f t="shared" si="21"/>
        <v>90.000000000000085</v>
      </c>
      <c r="CI17" s="117">
        <f t="shared" si="21"/>
        <v>89.573435645007308</v>
      </c>
      <c r="CJ17" s="116">
        <f t="shared" si="21"/>
        <v>90.000000000000085</v>
      </c>
      <c r="CK17" s="117">
        <f t="shared" si="21"/>
        <v>40.000000000000036</v>
      </c>
      <c r="CL17" s="117">
        <f t="shared" si="21"/>
        <v>40.000000000000036</v>
      </c>
      <c r="CM17" s="117">
        <f t="shared" si="21"/>
        <v>40.000000000000036</v>
      </c>
      <c r="CN17" s="117">
        <f t="shared" si="21"/>
        <v>39.716416192594473</v>
      </c>
      <c r="CO17" s="116">
        <f t="shared" si="21"/>
        <v>40.000000000000036</v>
      </c>
      <c r="CP17" s="117">
        <f t="shared" si="21"/>
        <v>24.999999999999467</v>
      </c>
      <c r="CQ17" s="117">
        <f t="shared" si="21"/>
        <v>25.000000000000576</v>
      </c>
      <c r="CR17" s="117">
        <f t="shared" si="21"/>
        <v>24.999999999999467</v>
      </c>
      <c r="CS17" s="117">
        <f t="shared" si="21"/>
        <v>24.776602544737123</v>
      </c>
      <c r="CT17" s="116">
        <f t="shared" si="21"/>
        <v>25.000000000000576</v>
      </c>
      <c r="CU17" s="117">
        <f t="shared" si="21"/>
        <v>25.000000000000576</v>
      </c>
      <c r="CV17" s="117">
        <f t="shared" si="21"/>
        <v>24.999999999999467</v>
      </c>
      <c r="CW17" s="117">
        <f t="shared" si="21"/>
        <v>25.000000000000576</v>
      </c>
      <c r="CX17" s="117">
        <f t="shared" si="21"/>
        <v>24.797096701696386</v>
      </c>
      <c r="CY17" s="116">
        <f t="shared" si="21"/>
        <v>24.999999999999467</v>
      </c>
      <c r="CZ17" s="118"/>
      <c r="DB17" s="781"/>
      <c r="DC17" s="781"/>
      <c r="DD17" s="778"/>
      <c r="DG17" s="781"/>
      <c r="DH17" s="781"/>
      <c r="DI17" s="779"/>
      <c r="DJ17" s="730"/>
      <c r="DK17" s="730"/>
      <c r="DL17" s="730"/>
      <c r="DM17" s="730"/>
      <c r="DN17" s="730"/>
      <c r="DU17" s="48"/>
      <c r="DV17" s="48"/>
      <c r="DW17" s="730"/>
      <c r="DX17" s="730"/>
      <c r="DY17" s="730"/>
      <c r="DZ17" s="748"/>
      <c r="EA17" s="773"/>
      <c r="EB17" s="861"/>
    </row>
    <row r="18" spans="1:171" ht="6" customHeight="1" x14ac:dyDescent="0.2">
      <c r="A18" s="48"/>
      <c r="B18" s="48"/>
      <c r="C18" s="48"/>
      <c r="D18" s="119"/>
      <c r="E18" s="119"/>
      <c r="F18" s="119"/>
      <c r="G18" s="56"/>
      <c r="H18" s="101"/>
      <c r="I18" s="119"/>
      <c r="J18" s="56"/>
      <c r="K18" s="56"/>
      <c r="L18" s="56"/>
      <c r="M18" s="101"/>
      <c r="N18" s="119"/>
      <c r="O18" s="56"/>
      <c r="P18" s="56"/>
      <c r="Q18" s="56"/>
      <c r="R18" s="101"/>
      <c r="S18" s="119"/>
      <c r="T18" s="56"/>
      <c r="U18" s="56"/>
      <c r="V18" s="56"/>
      <c r="W18" s="101"/>
      <c r="X18" s="119"/>
      <c r="Y18" s="56"/>
      <c r="Z18" s="56"/>
      <c r="AA18" s="56"/>
      <c r="AB18" s="101"/>
      <c r="AC18" s="119"/>
      <c r="AD18" s="56"/>
      <c r="AE18" s="56"/>
      <c r="AF18" s="56"/>
      <c r="AG18" s="101"/>
      <c r="AH18" s="119"/>
      <c r="AI18" s="119"/>
      <c r="AJ18" s="56"/>
      <c r="AK18" s="56"/>
      <c r="AL18" s="101"/>
      <c r="AM18" s="56"/>
      <c r="AN18" s="56"/>
      <c r="AO18" s="56"/>
      <c r="AP18" s="56"/>
      <c r="AQ18" s="101"/>
      <c r="AR18" s="56"/>
      <c r="AS18" s="56"/>
      <c r="AT18" s="103"/>
      <c r="AU18" s="56"/>
      <c r="AV18" s="101"/>
      <c r="AW18" s="56"/>
      <c r="AX18" s="56"/>
      <c r="AY18" s="56"/>
      <c r="AZ18" s="56"/>
      <c r="BA18" s="101"/>
      <c r="BB18" s="56"/>
      <c r="BC18" s="56"/>
      <c r="BD18" s="56"/>
      <c r="BE18" s="56"/>
      <c r="BF18" s="101"/>
      <c r="BG18" s="56"/>
      <c r="BH18" s="56"/>
      <c r="BI18" s="56"/>
      <c r="BJ18" s="56"/>
      <c r="BK18" s="101"/>
      <c r="BL18" s="56"/>
      <c r="BM18" s="56"/>
      <c r="BN18" s="56"/>
      <c r="BO18" s="56"/>
      <c r="BP18" s="101"/>
      <c r="BQ18" s="56"/>
      <c r="BR18" s="56"/>
      <c r="BS18" s="56"/>
      <c r="BT18" s="56"/>
      <c r="BU18" s="101"/>
      <c r="BV18" s="56"/>
      <c r="BW18" s="56"/>
      <c r="BX18" s="56"/>
      <c r="BY18" s="56"/>
      <c r="BZ18" s="101"/>
      <c r="CA18" s="56"/>
      <c r="CB18" s="56"/>
      <c r="CC18" s="56"/>
      <c r="CD18" s="56"/>
      <c r="CE18" s="101"/>
      <c r="CF18" s="56"/>
      <c r="CG18" s="56"/>
      <c r="CH18" s="56"/>
      <c r="CI18" s="56"/>
      <c r="CJ18" s="101"/>
      <c r="CK18" s="56"/>
      <c r="CL18" s="56"/>
      <c r="CM18" s="56"/>
      <c r="CN18" s="56"/>
      <c r="CO18" s="101"/>
      <c r="CP18" s="56"/>
      <c r="CQ18" s="56"/>
      <c r="CR18" s="56"/>
      <c r="CS18" s="56"/>
      <c r="CT18" s="101"/>
      <c r="CU18" s="56"/>
      <c r="CV18" s="56"/>
      <c r="CW18" s="56"/>
      <c r="CX18" s="56"/>
      <c r="CY18" s="101"/>
      <c r="CZ18" s="103"/>
      <c r="DB18" s="9"/>
      <c r="DC18" s="9"/>
      <c r="DG18" s="9"/>
      <c r="DH18" s="9"/>
      <c r="DI18" s="730"/>
      <c r="DJ18" s="730"/>
      <c r="DK18" s="730"/>
      <c r="DL18" s="730"/>
      <c r="DM18" s="730"/>
      <c r="DN18" s="730"/>
      <c r="DU18" s="48"/>
      <c r="DV18" s="48"/>
      <c r="DW18" s="730"/>
      <c r="DX18" s="730"/>
      <c r="DY18" s="730"/>
      <c r="DZ18" s="9"/>
      <c r="EA18" s="832"/>
      <c r="EB18" s="9"/>
    </row>
    <row r="19" spans="1:171" x14ac:dyDescent="0.2">
      <c r="A19" s="78" t="s">
        <v>66</v>
      </c>
      <c r="B19" s="78"/>
      <c r="C19" s="78"/>
      <c r="D19" s="104">
        <f t="shared" ref="D19:M19" si="22">+D27-D15</f>
        <v>-103.76699999999998</v>
      </c>
      <c r="E19" s="104">
        <f t="shared" si="22"/>
        <v>-122.08399999999997</v>
      </c>
      <c r="F19" s="104">
        <f t="shared" si="22"/>
        <v>-111.00500000000002</v>
      </c>
      <c r="G19" s="104">
        <f t="shared" si="22"/>
        <v>-107.756</v>
      </c>
      <c r="H19" s="105">
        <f t="shared" si="22"/>
        <v>-444.61199999999997</v>
      </c>
      <c r="I19" s="104">
        <f t="shared" si="22"/>
        <v>-130.03900000000004</v>
      </c>
      <c r="J19" s="104">
        <f t="shared" si="22"/>
        <v>-132.35499999999996</v>
      </c>
      <c r="K19" s="104">
        <f t="shared" si="22"/>
        <v>-128.44299999999998</v>
      </c>
      <c r="L19" s="104">
        <f t="shared" si="22"/>
        <v>-139.30000000000001</v>
      </c>
      <c r="M19" s="105">
        <f t="shared" si="22"/>
        <v>-530.09999999999991</v>
      </c>
      <c r="N19" s="104">
        <v>-157.9</v>
      </c>
      <c r="O19" s="104">
        <v>-159.9</v>
      </c>
      <c r="P19" s="104">
        <v>-157.30000000000001</v>
      </c>
      <c r="Q19" s="104">
        <v>-133.80000000000001</v>
      </c>
      <c r="R19" s="105">
        <v>-608.9</v>
      </c>
      <c r="S19" s="104">
        <v>-157</v>
      </c>
      <c r="T19" s="104">
        <v>-185.5</v>
      </c>
      <c r="U19" s="104">
        <v>-187</v>
      </c>
      <c r="V19" s="104">
        <v>-192.4</v>
      </c>
      <c r="W19" s="105">
        <v>-721.8</v>
      </c>
      <c r="X19" s="104">
        <v>-191</v>
      </c>
      <c r="Y19" s="104">
        <v>-189.1</v>
      </c>
      <c r="Z19" s="104">
        <v>-196.9</v>
      </c>
      <c r="AA19" s="104">
        <v>-193.2</v>
      </c>
      <c r="AB19" s="105">
        <v>-770.2</v>
      </c>
      <c r="AC19" s="104">
        <v>-208.1</v>
      </c>
      <c r="AD19" s="104">
        <v>-213.9</v>
      </c>
      <c r="AE19" s="104">
        <f>+AG19-AF19-AC19-AD19</f>
        <v>-195.59999999999988</v>
      </c>
      <c r="AF19" s="104">
        <v>-141.69999999999999</v>
      </c>
      <c r="AG19" s="105">
        <v>-759.3</v>
      </c>
      <c r="AH19" s="104">
        <v>-152.9</v>
      </c>
      <c r="AI19" s="104">
        <v>-157.6</v>
      </c>
      <c r="AJ19" s="104">
        <v>-159</v>
      </c>
      <c r="AK19" s="104">
        <v>-152.1</v>
      </c>
      <c r="AL19" s="105">
        <f>+AL27-AL15</f>
        <v>-621.60000000000025</v>
      </c>
      <c r="AM19" s="104">
        <v>-168.8</v>
      </c>
      <c r="AN19" s="104">
        <v>-164.4</v>
      </c>
      <c r="AO19" s="104">
        <v>-176.7</v>
      </c>
      <c r="AP19" s="104">
        <v>-151.19999999999999</v>
      </c>
      <c r="AQ19" s="105">
        <f>+AQ27-AQ15</f>
        <v>-661.09999999999968</v>
      </c>
      <c r="AR19" s="104">
        <v>-135.69999999999999</v>
      </c>
      <c r="AS19" s="104">
        <v>-134.5</v>
      </c>
      <c r="AT19" s="106">
        <v>-130.9</v>
      </c>
      <c r="AU19" s="104">
        <v>-122.9</v>
      </c>
      <c r="AV19" s="105">
        <f>+AV27-AV15</f>
        <v>-524</v>
      </c>
      <c r="AW19" s="104">
        <f>-144+2.2</f>
        <v>-141.80000000000001</v>
      </c>
      <c r="AX19" s="104">
        <f>-154.3+8.3</f>
        <v>-146</v>
      </c>
      <c r="AY19" s="104">
        <f>-151.7+10.4</f>
        <v>-141.29999999999998</v>
      </c>
      <c r="AZ19" s="104">
        <f>-134.7+4.4</f>
        <v>-130.29999999999998</v>
      </c>
      <c r="BA19" s="105">
        <f>+BA27-BA15</f>
        <v>-559.4</v>
      </c>
      <c r="BB19" s="104">
        <f>-186.5+32.5</f>
        <v>-154</v>
      </c>
      <c r="BC19" s="104">
        <f>-244.1+7.4</f>
        <v>-236.7</v>
      </c>
      <c r="BD19" s="104">
        <f>-245.9+9</f>
        <v>-236.9</v>
      </c>
      <c r="BE19" s="104">
        <f>+-219.5+7.7</f>
        <v>-211.8</v>
      </c>
      <c r="BF19" s="105">
        <f>+BF27-BF15</f>
        <v>-839.39999999999964</v>
      </c>
      <c r="BG19" s="104">
        <f>+-277.9+4.5</f>
        <v>-273.39999999999998</v>
      </c>
      <c r="BH19" s="104">
        <f>-293.3+8.9</f>
        <v>-284.40000000000003</v>
      </c>
      <c r="BI19" s="104">
        <f>-263.3+8.2</f>
        <v>-255.10000000000002</v>
      </c>
      <c r="BJ19" s="104">
        <f>-243.9+1.7</f>
        <v>-242.20000000000002</v>
      </c>
      <c r="BK19" s="105">
        <f>SUM(BG19:BJ19)</f>
        <v>-1055.0999999999999</v>
      </c>
      <c r="BL19" s="104">
        <f>-309.8+18.3</f>
        <v>-291.5</v>
      </c>
      <c r="BM19" s="104">
        <f>-296.2+6.8</f>
        <v>-289.39999999999998</v>
      </c>
      <c r="BN19" s="104">
        <f>-286.2+2.6</f>
        <v>-283.59999999999997</v>
      </c>
      <c r="BO19" s="104">
        <f>-285+4.1</f>
        <v>-280.89999999999998</v>
      </c>
      <c r="BP19" s="105">
        <f>SUM(BL19:BO19)</f>
        <v>-1145.4000000000001</v>
      </c>
      <c r="BQ19" s="104">
        <f>-328.6+7.1</f>
        <v>-321.5</v>
      </c>
      <c r="BR19" s="104">
        <f>-358.1+7.3</f>
        <v>-350.8</v>
      </c>
      <c r="BS19" s="104">
        <f>-357.4+4.6</f>
        <v>-352.79999999999995</v>
      </c>
      <c r="BT19" s="104">
        <f>-348.3+56.7</f>
        <v>-291.60000000000002</v>
      </c>
      <c r="BU19" s="105">
        <f>SUM(BQ19:BT19)</f>
        <v>-1316.6999999999998</v>
      </c>
      <c r="BV19" s="104">
        <f>-427.2+93</f>
        <v>-334.2</v>
      </c>
      <c r="BW19" s="104">
        <f>-351.4-0.7</f>
        <v>-352.09999999999997</v>
      </c>
      <c r="BX19" s="104">
        <f>-420.7+59.5</f>
        <v>-361.2</v>
      </c>
      <c r="BY19" s="104">
        <f>-333.4+8.8</f>
        <v>-324.59999999999997</v>
      </c>
      <c r="BZ19" s="105">
        <f>SUM(BV19:BY19)</f>
        <v>-1372.1</v>
      </c>
      <c r="CA19" s="104">
        <f>+CA27-CA15</f>
        <v>-375.983405585166</v>
      </c>
      <c r="CB19" s="104">
        <f>+CB27-CB15</f>
        <v>-390.23802967792199</v>
      </c>
      <c r="CC19" s="104">
        <f>+CC27-CC15</f>
        <v>-394.56168347950052</v>
      </c>
      <c r="CD19" s="104">
        <f>+CD27-CD15</f>
        <v>-352.36743770427995</v>
      </c>
      <c r="CE19" s="105">
        <f>SUM(CA19:CD19)</f>
        <v>-1513.1505564468684</v>
      </c>
      <c r="CF19" s="104">
        <f>+CF27-CF15</f>
        <v>-398.73630580452073</v>
      </c>
      <c r="CG19" s="104">
        <f>+CG27-CG15</f>
        <v>-413.55282750574133</v>
      </c>
      <c r="CH19" s="104">
        <f>+CH27-CH15</f>
        <v>-418.31681514953823</v>
      </c>
      <c r="CI19" s="104">
        <f>+CI27-CI15</f>
        <v>-373.03971001801028</v>
      </c>
      <c r="CJ19" s="105">
        <f>SUM(CF19:CI19)</f>
        <v>-1603.6456584778107</v>
      </c>
      <c r="CK19" s="104">
        <f>+CK27-CK15</f>
        <v>-416.77554196688345</v>
      </c>
      <c r="CL19" s="104">
        <f>+CL27-CL15</f>
        <v>-431.9310126729456</v>
      </c>
      <c r="CM19" s="104">
        <f>+CM27-CM15</f>
        <v>-437.24779255368526</v>
      </c>
      <c r="CN19" s="104">
        <f>+CN27-CN15</f>
        <v>-389.36474132715398</v>
      </c>
      <c r="CO19" s="105">
        <f>SUM(CK19:CN19)</f>
        <v>-1675.3190885206684</v>
      </c>
      <c r="CP19" s="104">
        <f>+CP27-CP15</f>
        <v>-430.78246272359763</v>
      </c>
      <c r="CQ19" s="104">
        <f>+CQ27-CQ15</f>
        <v>-445.98703787263639</v>
      </c>
      <c r="CR19" s="104">
        <f>+CR27-CR15</f>
        <v>-452.47864868359341</v>
      </c>
      <c r="CS19" s="104">
        <f>+CS27-CS15</f>
        <v>-402.24996182631878</v>
      </c>
      <c r="CT19" s="105">
        <f>SUM(CP19:CS19)</f>
        <v>-1731.4981111061461</v>
      </c>
      <c r="CU19" s="104">
        <f>+CU27-CU15</f>
        <v>-446.42268193654206</v>
      </c>
      <c r="CV19" s="104">
        <f>+CV27-CV15</f>
        <v>-461.85495608587985</v>
      </c>
      <c r="CW19" s="104">
        <f>+CW27-CW15</f>
        <v>-468.9721618787753</v>
      </c>
      <c r="CX19" s="104">
        <f>+CX27-CX15</f>
        <v>-416.39258512737342</v>
      </c>
      <c r="CY19" s="105">
        <f>SUM(CU19:CX19)</f>
        <v>-1793.6423850285705</v>
      </c>
      <c r="CZ19" s="106"/>
      <c r="DA19" s="787"/>
      <c r="DB19" s="308"/>
      <c r="DC19" s="308"/>
      <c r="DD19" s="748"/>
      <c r="DG19" s="308"/>
      <c r="DH19" s="308"/>
      <c r="DI19" s="773"/>
      <c r="DJ19" s="730"/>
      <c r="DK19" s="730"/>
      <c r="DL19" s="730"/>
      <c r="DM19" s="730"/>
      <c r="DN19" s="730"/>
      <c r="DU19" s="48"/>
      <c r="DV19" s="89"/>
      <c r="DW19" s="739"/>
      <c r="DX19" s="739"/>
      <c r="DY19" s="744"/>
      <c r="DZ19" s="819"/>
      <c r="EA19" s="862"/>
      <c r="EB19" s="861"/>
    </row>
    <row r="20" spans="1:171" x14ac:dyDescent="0.2">
      <c r="A20" s="48"/>
      <c r="B20" s="48" t="s">
        <v>61</v>
      </c>
      <c r="C20" s="48"/>
      <c r="D20" s="54">
        <f t="shared" ref="D20:AI20" si="23">-D19/D$5</f>
        <v>0.13427372082370384</v>
      </c>
      <c r="E20" s="54">
        <f t="shared" si="23"/>
        <v>0.13400156300764818</v>
      </c>
      <c r="F20" s="54">
        <f t="shared" si="23"/>
        <v>0.11243881983047828</v>
      </c>
      <c r="G20" s="54">
        <f t="shared" si="23"/>
        <v>0.1235549746024102</v>
      </c>
      <c r="H20" s="96">
        <f t="shared" si="23"/>
        <v>0.12548162079721295</v>
      </c>
      <c r="I20" s="54">
        <f t="shared" si="23"/>
        <v>0.14023325658763844</v>
      </c>
      <c r="J20" s="54">
        <f t="shared" si="23"/>
        <v>0.12763985607667164</v>
      </c>
      <c r="K20" s="54">
        <f t="shared" si="23"/>
        <v>0.11830312118049829</v>
      </c>
      <c r="L20" s="88">
        <f t="shared" si="23"/>
        <v>0.13424164073544761</v>
      </c>
      <c r="M20" s="96">
        <f t="shared" si="23"/>
        <v>0.12968369508258801</v>
      </c>
      <c r="N20" s="88">
        <f t="shared" si="23"/>
        <v>0.14399905155786183</v>
      </c>
      <c r="O20" s="88">
        <f t="shared" si="23"/>
        <v>0.13414890948430272</v>
      </c>
      <c r="P20" s="54">
        <f t="shared" si="23"/>
        <v>0.12414174098334779</v>
      </c>
      <c r="Q20" s="88">
        <f t="shared" si="23"/>
        <v>0.1276839393071858</v>
      </c>
      <c r="R20" s="96">
        <f t="shared" si="23"/>
        <v>0.13226892581731292</v>
      </c>
      <c r="S20" s="88">
        <f t="shared" si="23"/>
        <v>0.13582489834760791</v>
      </c>
      <c r="T20" s="88">
        <f t="shared" si="23"/>
        <v>0.1308641975308642</v>
      </c>
      <c r="U20" s="88">
        <f t="shared" si="23"/>
        <v>0.1246002132196162</v>
      </c>
      <c r="V20" s="88">
        <f t="shared" si="23"/>
        <v>0.16844685694274211</v>
      </c>
      <c r="W20" s="96">
        <f t="shared" si="23"/>
        <v>0.13837129054520358</v>
      </c>
      <c r="X20" s="88">
        <f t="shared" si="23"/>
        <v>0.21193963604083443</v>
      </c>
      <c r="Y20" s="88">
        <f t="shared" si="23"/>
        <v>0.21185301366793635</v>
      </c>
      <c r="Z20" s="54">
        <f t="shared" si="23"/>
        <v>0.17985020094994522</v>
      </c>
      <c r="AA20" s="88">
        <f t="shared" si="23"/>
        <v>0.21845318860244234</v>
      </c>
      <c r="AB20" s="96">
        <f t="shared" si="23"/>
        <v>0.20413464086933475</v>
      </c>
      <c r="AC20" s="88">
        <f t="shared" si="23"/>
        <v>0.22333118694998924</v>
      </c>
      <c r="AD20" s="88">
        <f t="shared" si="23"/>
        <v>0.22362780972294827</v>
      </c>
      <c r="AE20" s="54">
        <f t="shared" si="23"/>
        <v>0.18968192397207126</v>
      </c>
      <c r="AF20" s="88">
        <f t="shared" si="23"/>
        <v>0.19276288940280231</v>
      </c>
      <c r="AG20" s="96">
        <f t="shared" si="23"/>
        <v>0.20776555573797406</v>
      </c>
      <c r="AH20" s="88">
        <f t="shared" si="23"/>
        <v>0.19315310763011623</v>
      </c>
      <c r="AI20" s="88">
        <f t="shared" si="23"/>
        <v>0.17974452554744524</v>
      </c>
      <c r="AJ20" s="54">
        <f t="shared" ref="AJ20:BB20" si="24">-AJ19/AJ$5</f>
        <v>0.1609800546724714</v>
      </c>
      <c r="AK20" s="54">
        <f t="shared" si="24"/>
        <v>0.21461831522505995</v>
      </c>
      <c r="AL20" s="96">
        <f t="shared" si="24"/>
        <v>0.18473609129814558</v>
      </c>
      <c r="AM20" s="54">
        <f t="shared" si="24"/>
        <v>0.21434920634920637</v>
      </c>
      <c r="AN20" s="54">
        <f t="shared" si="24"/>
        <v>0.19054242002781643</v>
      </c>
      <c r="AO20" s="54">
        <f t="shared" si="24"/>
        <v>0.18284354304635761</v>
      </c>
      <c r="AP20" s="54">
        <f t="shared" si="24"/>
        <v>0.21137984062631063</v>
      </c>
      <c r="AQ20" s="96">
        <f t="shared" si="24"/>
        <v>0.19840936374549811</v>
      </c>
      <c r="AR20" s="54">
        <f t="shared" si="24"/>
        <v>0.21359987407524003</v>
      </c>
      <c r="AS20" s="54">
        <f t="shared" si="24"/>
        <v>0.19487105186902345</v>
      </c>
      <c r="AT20" s="33">
        <f t="shared" si="24"/>
        <v>0.18681318681318682</v>
      </c>
      <c r="AU20" s="33">
        <f t="shared" si="24"/>
        <v>0.19566947938226398</v>
      </c>
      <c r="AV20" s="96">
        <f t="shared" si="24"/>
        <v>0.19741551444825375</v>
      </c>
      <c r="AW20" s="33">
        <f t="shared" si="24"/>
        <v>0.22337744171392568</v>
      </c>
      <c r="AX20" s="33">
        <f t="shared" si="24"/>
        <v>0.20901932712956334</v>
      </c>
      <c r="AY20" s="33">
        <f t="shared" si="24"/>
        <v>0.18424827226496282</v>
      </c>
      <c r="AZ20" s="33">
        <f t="shared" si="24"/>
        <v>0.18723954591176892</v>
      </c>
      <c r="BA20" s="96">
        <f t="shared" si="24"/>
        <v>0.20006437537999355</v>
      </c>
      <c r="BB20" s="33">
        <f t="shared" si="24"/>
        <v>0.2286902286902287</v>
      </c>
      <c r="BC20" s="33">
        <f>-BC19/BC$5</f>
        <v>0.16214549938347719</v>
      </c>
      <c r="BD20" s="33">
        <f>-BD19/BD$5</f>
        <v>0.16413773990161437</v>
      </c>
      <c r="BE20" s="54">
        <f>-BE19/BE5</f>
        <v>0.16403345724907065</v>
      </c>
      <c r="BF20" s="96">
        <f>-BF19/BF$5</f>
        <v>0.17244283747971315</v>
      </c>
      <c r="BG20" s="54">
        <f t="shared" ref="BG20:CY20" si="25">-BG19/BG$5</f>
        <v>0.17916120576671035</v>
      </c>
      <c r="BH20" s="54">
        <f t="shared" si="25"/>
        <v>0.17690967902463303</v>
      </c>
      <c r="BI20" s="54">
        <f t="shared" si="25"/>
        <v>0.16548816088225757</v>
      </c>
      <c r="BJ20" s="54">
        <f>-BJ19/BJ$5</f>
        <v>0.17902283982555992</v>
      </c>
      <c r="BK20" s="96">
        <f>-BK19/BK$5</f>
        <v>0.17503317850033176</v>
      </c>
      <c r="BL20" s="54">
        <f>-BL19/BL$5</f>
        <v>0.17869184086311532</v>
      </c>
      <c r="BM20" s="54">
        <f>-BM19/BM$5</f>
        <v>0.16695511711088032</v>
      </c>
      <c r="BN20" s="54">
        <f>-BN19/BN$5</f>
        <v>0.17287412374276134</v>
      </c>
      <c r="BO20" s="54">
        <f t="shared" si="25"/>
        <v>0.18202436495593569</v>
      </c>
      <c r="BP20" s="96">
        <f>-BP19/BP$5</f>
        <v>0.17491295583654023</v>
      </c>
      <c r="BQ20" s="54">
        <f>-BQ19/BQ$5</f>
        <v>0.17175980339779892</v>
      </c>
      <c r="BR20" s="54">
        <f>-BR19/BR$5</f>
        <v>0.17356026123095192</v>
      </c>
      <c r="BS20" s="54">
        <f>-BS19/BS$5</f>
        <v>0.19486329743164868</v>
      </c>
      <c r="BT20" s="54">
        <f>-BT19/BT$5</f>
        <v>0.17911547911547912</v>
      </c>
      <c r="BU20" s="96">
        <f t="shared" si="25"/>
        <v>0.17959489872468115</v>
      </c>
      <c r="BV20" s="54">
        <f>-BV19/BV$5</f>
        <v>0.17266856109532419</v>
      </c>
      <c r="BW20" s="54">
        <f>-BW19/BW$5</f>
        <v>0.16891340849124489</v>
      </c>
      <c r="BX20" s="54">
        <f>-BX19/BX$5</f>
        <v>0.20076705019176255</v>
      </c>
      <c r="BY20" s="54">
        <f t="shared" si="25"/>
        <v>0.18381561809842004</v>
      </c>
      <c r="BZ20" s="96">
        <f t="shared" si="25"/>
        <v>0.1808965062623599</v>
      </c>
      <c r="CA20" s="54">
        <f t="shared" si="25"/>
        <v>0.18158102902742423</v>
      </c>
      <c r="CB20" s="54">
        <f t="shared" si="25"/>
        <v>0.17288187898147028</v>
      </c>
      <c r="CC20" s="54">
        <f t="shared" si="25"/>
        <v>0.19981480330850837</v>
      </c>
      <c r="CD20" s="54">
        <f t="shared" si="25"/>
        <v>0.18598586103968059</v>
      </c>
      <c r="CE20" s="96">
        <f t="shared" si="25"/>
        <v>0.18459603368396479</v>
      </c>
      <c r="CF20" s="54">
        <f t="shared" si="25"/>
        <v>0.18054819850919537</v>
      </c>
      <c r="CG20" s="54">
        <f t="shared" si="25"/>
        <v>0.17180223274560105</v>
      </c>
      <c r="CH20" s="54">
        <f t="shared" si="25"/>
        <v>0.1994281171803369</v>
      </c>
      <c r="CI20" s="54">
        <f t="shared" si="25"/>
        <v>0.1854365980469555</v>
      </c>
      <c r="CJ20" s="96">
        <f t="shared" si="25"/>
        <v>0.18380133953360175</v>
      </c>
      <c r="CK20" s="54">
        <f t="shared" si="25"/>
        <v>0.17892579219630872</v>
      </c>
      <c r="CL20" s="54">
        <f t="shared" si="25"/>
        <v>0.17014660374706192</v>
      </c>
      <c r="CM20" s="54">
        <f t="shared" si="25"/>
        <v>0.19817055741821346</v>
      </c>
      <c r="CN20" s="54">
        <f t="shared" si="25"/>
        <v>0.18405699459746266</v>
      </c>
      <c r="CO20" s="96">
        <f t="shared" si="25"/>
        <v>0.18230239280077723</v>
      </c>
      <c r="CP20" s="54">
        <f t="shared" si="25"/>
        <v>0.17617599824815794</v>
      </c>
      <c r="CQ20" s="54">
        <f t="shared" si="25"/>
        <v>0.16737344324398756</v>
      </c>
      <c r="CR20" s="54">
        <f t="shared" si="25"/>
        <v>0.19576917913021333</v>
      </c>
      <c r="CS20" s="54">
        <f t="shared" si="25"/>
        <v>0.18156192986076364</v>
      </c>
      <c r="CT20" s="96">
        <f t="shared" si="25"/>
        <v>0.17967957045771801</v>
      </c>
      <c r="CU20" s="54">
        <f t="shared" si="25"/>
        <v>0.17460667176787054</v>
      </c>
      <c r="CV20" s="54">
        <f t="shared" si="25"/>
        <v>0.16577903676503025</v>
      </c>
      <c r="CW20" s="54">
        <f t="shared" si="25"/>
        <v>0.19442393959495916</v>
      </c>
      <c r="CX20" s="54">
        <f t="shared" si="25"/>
        <v>0.18012646280395647</v>
      </c>
      <c r="CY20" s="96">
        <f t="shared" si="25"/>
        <v>0.17817970602868557</v>
      </c>
      <c r="CZ20" s="92"/>
      <c r="DA20" s="780"/>
      <c r="DB20" s="748"/>
      <c r="DC20" s="748"/>
      <c r="DD20" s="778"/>
      <c r="DE20" s="788"/>
      <c r="DG20" s="748"/>
      <c r="DH20" s="748"/>
      <c r="DI20" s="779"/>
      <c r="DJ20" s="730"/>
      <c r="DK20" s="730"/>
      <c r="DL20" s="730"/>
      <c r="DM20" s="730"/>
      <c r="DN20" s="730"/>
      <c r="DU20" s="48"/>
      <c r="DV20" s="48"/>
      <c r="DW20" s="730"/>
      <c r="DX20" s="730"/>
      <c r="DY20" s="730"/>
      <c r="DZ20" s="730"/>
      <c r="EA20" s="730"/>
    </row>
    <row r="21" spans="1:171" x14ac:dyDescent="0.2">
      <c r="A21" s="48"/>
      <c r="B21" s="48" t="s">
        <v>59</v>
      </c>
      <c r="C21" s="48"/>
      <c r="D21" s="90"/>
      <c r="E21" s="90"/>
      <c r="F21" s="90"/>
      <c r="G21" s="90"/>
      <c r="H21" s="98"/>
      <c r="I21" s="90">
        <f t="shared" ref="I21:AN21" si="26">I19/D19-1</f>
        <v>0.25318261104204676</v>
      </c>
      <c r="J21" s="90">
        <f t="shared" si="26"/>
        <v>8.4130598604239548E-2</v>
      </c>
      <c r="K21" s="90">
        <f t="shared" si="26"/>
        <v>0.15709202288185176</v>
      </c>
      <c r="L21" s="90">
        <f t="shared" si="26"/>
        <v>0.29273543932588453</v>
      </c>
      <c r="M21" s="98">
        <f t="shared" si="26"/>
        <v>0.19227551213192617</v>
      </c>
      <c r="N21" s="90">
        <f t="shared" si="26"/>
        <v>0.21425110928259938</v>
      </c>
      <c r="O21" s="90">
        <f t="shared" si="26"/>
        <v>0.2081145404404825</v>
      </c>
      <c r="P21" s="90">
        <f t="shared" si="26"/>
        <v>0.22466775145395257</v>
      </c>
      <c r="Q21" s="90">
        <f t="shared" si="26"/>
        <v>-3.948312993539127E-2</v>
      </c>
      <c r="R21" s="98">
        <f t="shared" si="26"/>
        <v>0.14865119788719117</v>
      </c>
      <c r="S21" s="90">
        <f t="shared" si="26"/>
        <v>-5.6998100063331281E-3</v>
      </c>
      <c r="T21" s="90">
        <f t="shared" si="26"/>
        <v>0.16010006253908693</v>
      </c>
      <c r="U21" s="90">
        <f t="shared" si="26"/>
        <v>0.18881118881118875</v>
      </c>
      <c r="V21" s="90">
        <f t="shared" si="26"/>
        <v>0.4379671150971598</v>
      </c>
      <c r="W21" s="98">
        <f t="shared" si="26"/>
        <v>0.18541632451962542</v>
      </c>
      <c r="X21" s="90">
        <f t="shared" si="26"/>
        <v>0.21656050955414008</v>
      </c>
      <c r="Y21" s="90">
        <f t="shared" si="26"/>
        <v>1.9407008086253397E-2</v>
      </c>
      <c r="Z21" s="90">
        <f t="shared" si="26"/>
        <v>5.2941176470588269E-2</v>
      </c>
      <c r="AA21" s="90">
        <f t="shared" si="26"/>
        <v>4.1580041580040472E-3</v>
      </c>
      <c r="AB21" s="98">
        <f t="shared" si="26"/>
        <v>6.7054585757827745E-2</v>
      </c>
      <c r="AC21" s="90">
        <f t="shared" si="26"/>
        <v>8.9528795811518291E-2</v>
      </c>
      <c r="AD21" s="90">
        <f t="shared" si="26"/>
        <v>0.1311475409836067</v>
      </c>
      <c r="AE21" s="90">
        <f t="shared" si="26"/>
        <v>-6.6023362112753725E-3</v>
      </c>
      <c r="AF21" s="90">
        <f t="shared" si="26"/>
        <v>-0.2665631469979296</v>
      </c>
      <c r="AG21" s="98">
        <f t="shared" si="26"/>
        <v>-1.415216826798249E-2</v>
      </c>
      <c r="AH21" s="90">
        <f t="shared" si="26"/>
        <v>-0.26525708793849101</v>
      </c>
      <c r="AI21" s="90">
        <f t="shared" si="26"/>
        <v>-0.26320710612435727</v>
      </c>
      <c r="AJ21" s="90">
        <f t="shared" si="26"/>
        <v>-0.18711656441717739</v>
      </c>
      <c r="AK21" s="90">
        <f t="shared" si="26"/>
        <v>7.3394495412844041E-2</v>
      </c>
      <c r="AL21" s="98">
        <f t="shared" si="26"/>
        <v>-0.18135124456736429</v>
      </c>
      <c r="AM21" s="90">
        <f t="shared" si="26"/>
        <v>0.10398953564421198</v>
      </c>
      <c r="AN21" s="90">
        <f t="shared" si="26"/>
        <v>4.3147208121827374E-2</v>
      </c>
      <c r="AO21" s="90">
        <f t="shared" ref="AO21:BO21" si="27">AO19/AJ19-1</f>
        <v>0.111320754716981</v>
      </c>
      <c r="AP21" s="90">
        <f t="shared" si="27"/>
        <v>-5.9171597633136397E-3</v>
      </c>
      <c r="AQ21" s="98">
        <f t="shared" si="27"/>
        <v>6.354568854568754E-2</v>
      </c>
      <c r="AR21" s="90">
        <f t="shared" si="27"/>
        <v>-0.196090047393365</v>
      </c>
      <c r="AS21" s="90">
        <f t="shared" si="27"/>
        <v>-0.18187347931873488</v>
      </c>
      <c r="AT21" s="97">
        <f t="shared" si="27"/>
        <v>-0.25919637804187878</v>
      </c>
      <c r="AU21" s="97">
        <f t="shared" si="27"/>
        <v>-0.1871693121693121</v>
      </c>
      <c r="AV21" s="98">
        <f t="shared" si="27"/>
        <v>-0.20738163666616205</v>
      </c>
      <c r="AW21" s="97">
        <f t="shared" si="27"/>
        <v>4.4952100221075986E-2</v>
      </c>
      <c r="AX21" s="97">
        <f t="shared" si="27"/>
        <v>8.5501858736059422E-2</v>
      </c>
      <c r="AY21" s="97">
        <f t="shared" si="27"/>
        <v>7.9449961802902758E-2</v>
      </c>
      <c r="AZ21" s="97">
        <f t="shared" si="27"/>
        <v>6.0211554109031562E-2</v>
      </c>
      <c r="BA21" s="98">
        <f t="shared" si="27"/>
        <v>6.7557251908396898E-2</v>
      </c>
      <c r="BB21" s="97">
        <f t="shared" si="27"/>
        <v>8.6036671368123985E-2</v>
      </c>
      <c r="BC21" s="97">
        <f t="shared" si="27"/>
        <v>0.62123287671232874</v>
      </c>
      <c r="BD21" s="97">
        <f t="shared" si="27"/>
        <v>0.67657466383581055</v>
      </c>
      <c r="BE21" s="90">
        <f t="shared" si="27"/>
        <v>0.62547966231772856</v>
      </c>
      <c r="BF21" s="98">
        <f t="shared" si="27"/>
        <v>0.50053628888094326</v>
      </c>
      <c r="BG21" s="90">
        <f t="shared" si="27"/>
        <v>0.77532467532467519</v>
      </c>
      <c r="BH21" s="90">
        <f t="shared" si="27"/>
        <v>0.2015209125475288</v>
      </c>
      <c r="BI21" s="90">
        <f t="shared" si="27"/>
        <v>7.682566483748432E-2</v>
      </c>
      <c r="BJ21" s="90">
        <f>BJ19/BE19-1</f>
        <v>0.14353163361661947</v>
      </c>
      <c r="BK21" s="98">
        <f>BK19/BF19-1</f>
        <v>0.25696926375982887</v>
      </c>
      <c r="BL21" s="90">
        <f>BL19/BG19-1</f>
        <v>6.6203365032918793E-2</v>
      </c>
      <c r="BM21" s="90">
        <f>BM19/BH19-1</f>
        <v>1.758087201125158E-2</v>
      </c>
      <c r="BN21" s="90">
        <f>BN19/BI19-1</f>
        <v>0.11172089376714989</v>
      </c>
      <c r="BO21" s="90">
        <f t="shared" si="27"/>
        <v>0.15978530140379843</v>
      </c>
      <c r="BP21" s="98">
        <f>+BP19/BK19-1</f>
        <v>8.5584304805231826E-2</v>
      </c>
      <c r="BQ21" s="90">
        <f>BQ19/BL19-1</f>
        <v>0.10291595197255576</v>
      </c>
      <c r="BR21" s="90">
        <f>BR19/BM19-1</f>
        <v>0.21216309606081563</v>
      </c>
      <c r="BS21" s="90">
        <f>BS19/BN19-1</f>
        <v>0.24400564174894224</v>
      </c>
      <c r="BT21" s="90">
        <f>BT19/BO19-1</f>
        <v>3.8091847632609532E-2</v>
      </c>
      <c r="BU21" s="98">
        <f>+BU19/BP19-1</f>
        <v>0.14955474070193797</v>
      </c>
      <c r="BV21" s="90">
        <f>BV19/BQ19-1</f>
        <v>3.9502332814929986E-2</v>
      </c>
      <c r="BW21" s="90">
        <f>BW19/BR19-1</f>
        <v>3.7058152793614241E-3</v>
      </c>
      <c r="BX21" s="90">
        <f>BX19/BS19-1</f>
        <v>2.3809523809523947E-2</v>
      </c>
      <c r="BY21" s="90">
        <f>BY19/BT19-1</f>
        <v>0.11316872427983515</v>
      </c>
      <c r="BZ21" s="98">
        <f>+BZ19/BU19-1</f>
        <v>4.2074884180147487E-2</v>
      </c>
      <c r="CA21" s="90">
        <f>CA19/BV19-1</f>
        <v>0.12502515136195691</v>
      </c>
      <c r="CB21" s="90">
        <f>CB19/BW19-1</f>
        <v>0.10831590365783028</v>
      </c>
      <c r="CC21" s="90">
        <f>CC19/BX19-1</f>
        <v>9.2363464782670324E-2</v>
      </c>
      <c r="CD21" s="90">
        <f>CD19/BY19-1</f>
        <v>8.5543554233764585E-2</v>
      </c>
      <c r="CE21" s="98">
        <f>+CE19/BZ19-1</f>
        <v>0.10279903538143609</v>
      </c>
      <c r="CF21" s="90">
        <f>CF19/CA19-1</f>
        <v>6.0515703303296142E-2</v>
      </c>
      <c r="CG21" s="90">
        <f>CG19/CB19-1</f>
        <v>5.9745068534355683E-2</v>
      </c>
      <c r="CH21" s="90">
        <f>CH19/CC19-1</f>
        <v>6.0206382587760565E-2</v>
      </c>
      <c r="CI21" s="90">
        <f>CI19/CD19-1</f>
        <v>5.8666806582392761E-2</v>
      </c>
      <c r="CJ21" s="98">
        <f>+CJ19/CE19-1</f>
        <v>5.9805748770591638E-2</v>
      </c>
      <c r="CK21" s="90">
        <f>CK19/CF19-1</f>
        <v>4.5241017433728326E-2</v>
      </c>
      <c r="CL21" s="90">
        <f>CL19/CG19-1</f>
        <v>4.4439752178817127E-2</v>
      </c>
      <c r="CM21" s="90">
        <f>CM19/CH19-1</f>
        <v>4.5255119370182673E-2</v>
      </c>
      <c r="CN21" s="90">
        <f>CN19/CI19-1</f>
        <v>4.3762180997716005E-2</v>
      </c>
      <c r="CO21" s="98">
        <f>+CO19/CJ19-1</f>
        <v>4.4694056735008703E-2</v>
      </c>
      <c r="CP21" s="90">
        <f>CP19/CK19-1</f>
        <v>3.3607828066425149E-2</v>
      </c>
      <c r="CQ21" s="90">
        <f>CQ19/CL19-1</f>
        <v>3.2542292142226703E-2</v>
      </c>
      <c r="CR21" s="90">
        <f>CR19/CM19-1</f>
        <v>3.4833466032965887E-2</v>
      </c>
      <c r="CS21" s="90">
        <f>CS19/CN19-1</f>
        <v>3.3092930950155752E-2</v>
      </c>
      <c r="CT21" s="98">
        <f>+CT19/CO19-1</f>
        <v>3.3533326857204671E-2</v>
      </c>
      <c r="CU21" s="90">
        <f>CU19/CP19-1</f>
        <v>3.6306536515112509E-2</v>
      </c>
      <c r="CV21" s="90">
        <f>CV19/CQ19-1</f>
        <v>3.5579326002239009E-2</v>
      </c>
      <c r="CW21" s="90">
        <f>CW19/CR19-1</f>
        <v>3.6451472888647585E-2</v>
      </c>
      <c r="CX21" s="90">
        <f>CX19/CS19-1</f>
        <v>3.5158793395140275E-2</v>
      </c>
      <c r="CY21" s="98">
        <f>+CY19/CT19-1</f>
        <v>3.589046590569156E-2</v>
      </c>
      <c r="CZ21" s="97"/>
      <c r="DB21" s="750"/>
      <c r="DC21" s="750"/>
      <c r="DG21" s="750"/>
      <c r="DH21" s="750"/>
      <c r="DI21" s="730"/>
      <c r="DJ21" s="730"/>
      <c r="DK21" s="730"/>
      <c r="DL21" s="730"/>
      <c r="DM21" s="730"/>
      <c r="DN21" s="730"/>
      <c r="DU21" s="48"/>
      <c r="DV21" s="48"/>
      <c r="DW21" s="730"/>
      <c r="DX21" s="730"/>
      <c r="EB21" s="665"/>
      <c r="EC21" s="665"/>
    </row>
    <row r="22" spans="1:171" x14ac:dyDescent="0.2">
      <c r="A22" s="48"/>
      <c r="B22" s="48" t="s">
        <v>62</v>
      </c>
      <c r="C22" s="48"/>
      <c r="D22" s="90"/>
      <c r="E22" s="90"/>
      <c r="F22" s="90"/>
      <c r="G22" s="90"/>
      <c r="H22" s="116"/>
      <c r="I22" s="117">
        <f t="shared" ref="I22:BB22" si="28">+(I20-D20)*10000</f>
        <v>59.595357639345977</v>
      </c>
      <c r="J22" s="117">
        <f t="shared" si="28"/>
        <v>-63.617069309765405</v>
      </c>
      <c r="K22" s="117">
        <f t="shared" si="28"/>
        <v>58.643013500200155</v>
      </c>
      <c r="L22" s="117">
        <f t="shared" si="28"/>
        <v>106.86666133037411</v>
      </c>
      <c r="M22" s="116">
        <f t="shared" si="28"/>
        <v>42.020742853750569</v>
      </c>
      <c r="N22" s="117">
        <f t="shared" si="28"/>
        <v>37.657949702233907</v>
      </c>
      <c r="O22" s="117">
        <f t="shared" si="28"/>
        <v>65.090534076310831</v>
      </c>
      <c r="P22" s="117">
        <f t="shared" si="28"/>
        <v>58.386198028494988</v>
      </c>
      <c r="Q22" s="117">
        <f t="shared" si="28"/>
        <v>-65.577014282618137</v>
      </c>
      <c r="R22" s="116">
        <f t="shared" si="28"/>
        <v>25.852307347249138</v>
      </c>
      <c r="S22" s="117">
        <f t="shared" si="28"/>
        <v>-81.741532102539153</v>
      </c>
      <c r="T22" s="117">
        <f t="shared" si="28"/>
        <v>-32.847119534385186</v>
      </c>
      <c r="U22" s="117">
        <f t="shared" si="28"/>
        <v>4.5847223626840901</v>
      </c>
      <c r="V22" s="117">
        <f t="shared" si="28"/>
        <v>407.62917635556312</v>
      </c>
      <c r="W22" s="116">
        <f t="shared" si="28"/>
        <v>61.023647278906637</v>
      </c>
      <c r="X22" s="117">
        <f t="shared" si="28"/>
        <v>761.14737693226516</v>
      </c>
      <c r="Y22" s="117">
        <f t="shared" si="28"/>
        <v>809.88816137072149</v>
      </c>
      <c r="Z22" s="117">
        <f t="shared" si="28"/>
        <v>552.49987730329019</v>
      </c>
      <c r="AA22" s="117">
        <f t="shared" si="28"/>
        <v>500.06331659700226</v>
      </c>
      <c r="AB22" s="116">
        <f t="shared" si="28"/>
        <v>657.6335032413117</v>
      </c>
      <c r="AC22" s="117">
        <f t="shared" si="28"/>
        <v>113.91550909154807</v>
      </c>
      <c r="AD22" s="117">
        <f t="shared" si="28"/>
        <v>117.74796055011916</v>
      </c>
      <c r="AE22" s="117">
        <f t="shared" si="28"/>
        <v>98.317230221260374</v>
      </c>
      <c r="AF22" s="117">
        <f t="shared" si="28"/>
        <v>-256.90299199640026</v>
      </c>
      <c r="AG22" s="116">
        <f t="shared" si="28"/>
        <v>36.309148686393122</v>
      </c>
      <c r="AH22" s="117">
        <f t="shared" si="28"/>
        <v>-301.78079319873012</v>
      </c>
      <c r="AI22" s="117">
        <f t="shared" si="28"/>
        <v>-438.83284175503024</v>
      </c>
      <c r="AJ22" s="111">
        <f t="shared" si="28"/>
        <v>-287.01869299599866</v>
      </c>
      <c r="AK22" s="111">
        <f t="shared" si="28"/>
        <v>218.55425822257635</v>
      </c>
      <c r="AL22" s="116">
        <f t="shared" si="28"/>
        <v>-230.29464439828479</v>
      </c>
      <c r="AM22" s="111">
        <f t="shared" si="28"/>
        <v>211.96098719090145</v>
      </c>
      <c r="AN22" s="111">
        <f t="shared" si="28"/>
        <v>107.9789448037119</v>
      </c>
      <c r="AO22" s="111">
        <f t="shared" si="28"/>
        <v>218.63488373886213</v>
      </c>
      <c r="AP22" s="111">
        <f t="shared" si="28"/>
        <v>-32.38474598749319</v>
      </c>
      <c r="AQ22" s="116">
        <f t="shared" si="28"/>
        <v>136.73272447352531</v>
      </c>
      <c r="AR22" s="111">
        <f t="shared" si="28"/>
        <v>-7.4933227396634106</v>
      </c>
      <c r="AS22" s="111">
        <f t="shared" si="28"/>
        <v>43.286318412070202</v>
      </c>
      <c r="AT22" s="113">
        <f t="shared" si="28"/>
        <v>39.696437668292063</v>
      </c>
      <c r="AU22" s="113">
        <f t="shared" si="28"/>
        <v>-157.10361244046649</v>
      </c>
      <c r="AV22" s="116">
        <f t="shared" si="28"/>
        <v>-9.9384929724435906</v>
      </c>
      <c r="AW22" s="113">
        <f t="shared" si="28"/>
        <v>97.775676386856475</v>
      </c>
      <c r="AX22" s="113">
        <f t="shared" si="28"/>
        <v>141.48275260539884</v>
      </c>
      <c r="AY22" s="113">
        <f t="shared" si="28"/>
        <v>-25.649145482239955</v>
      </c>
      <c r="AZ22" s="113">
        <f t="shared" si="28"/>
        <v>-84.299334704950596</v>
      </c>
      <c r="BA22" s="116">
        <f t="shared" si="28"/>
        <v>26.488609317397994</v>
      </c>
      <c r="BB22" s="113">
        <f t="shared" si="28"/>
        <v>53.127869763030247</v>
      </c>
      <c r="BC22" s="113">
        <f>+(BC20-AX20)*10000</f>
        <v>-468.73827746086147</v>
      </c>
      <c r="BD22" s="113">
        <f>+(BD20-AY20)*10000</f>
        <v>-201.10532363348449</v>
      </c>
      <c r="BE22" s="111">
        <f>(BE20-AZ20)*10000</f>
        <v>-232.06088662698272</v>
      </c>
      <c r="BF22" s="116">
        <f>+(BF20-BA20)*10000</f>
        <v>-276.21537900280407</v>
      </c>
      <c r="BG22" s="111">
        <f>(BG20-BB20)*10000</f>
        <v>-495.29022923518352</v>
      </c>
      <c r="BH22" s="111">
        <f>(BH20-BC20)*10000</f>
        <v>147.6417964115584</v>
      </c>
      <c r="BI22" s="111">
        <f>(BI20-BD20)*10000</f>
        <v>13.504209806431966</v>
      </c>
      <c r="BJ22" s="111">
        <f>(BJ20-BE20)*10000</f>
        <v>149.89382576489268</v>
      </c>
      <c r="BK22" s="116">
        <f>+(BK20-BF20)*10000</f>
        <v>25.903410206186138</v>
      </c>
      <c r="BL22" s="111">
        <f>(BL20-BG20)*10000</f>
        <v>-4.6936490359503207</v>
      </c>
      <c r="BM22" s="111">
        <f>(BM20-BH20)*10000</f>
        <v>-99.545619137527126</v>
      </c>
      <c r="BN22" s="111">
        <f>(BN20-BI20)*10000</f>
        <v>73.859628605037756</v>
      </c>
      <c r="BO22" s="111">
        <f>(BO20-BJ20)*10000</f>
        <v>30.015251303757708</v>
      </c>
      <c r="BP22" s="116">
        <f>+(BP20-BK20)*10000</f>
        <v>-1.2022266379152491</v>
      </c>
      <c r="BQ22" s="111">
        <f>(BQ20-BL20)*10000</f>
        <v>-69.320374653163981</v>
      </c>
      <c r="BR22" s="111">
        <f>(BR20-BM20)*10000</f>
        <v>66.051441200715985</v>
      </c>
      <c r="BS22" s="111">
        <f>(BS20-BN20)*10000</f>
        <v>219.89173688887337</v>
      </c>
      <c r="BT22" s="111">
        <f>(BT20-BO20)*10000</f>
        <v>-29.088858404565656</v>
      </c>
      <c r="BU22" s="116">
        <f>+(BU20-BP20)*10000</f>
        <v>46.819428881409166</v>
      </c>
      <c r="BV22" s="111">
        <f>(BV20-BQ20)*10000</f>
        <v>9.0875769752526985</v>
      </c>
      <c r="BW22" s="111">
        <f>(BW20-BR20)*10000</f>
        <v>-46.468527397070247</v>
      </c>
      <c r="BX22" s="111">
        <f>(BX20-BS20)*10000</f>
        <v>59.037527601138727</v>
      </c>
      <c r="BY22" s="111">
        <f>(BY20-BT20)*10000</f>
        <v>47.001389829409156</v>
      </c>
      <c r="BZ22" s="116">
        <f>+(BZ20-BU20)*10000</f>
        <v>13.01607537678745</v>
      </c>
      <c r="CA22" s="111">
        <f>(CA20-BV20)*10000</f>
        <v>89.124679321000428</v>
      </c>
      <c r="CB22" s="111">
        <f>(CB20-BW20)*10000</f>
        <v>39.684704902253898</v>
      </c>
      <c r="CC22" s="111">
        <f>(CC20-BX20)*10000</f>
        <v>-9.5224688325418185</v>
      </c>
      <c r="CD22" s="111">
        <f>(CD20-BY20)*10000</f>
        <v>21.702429412605582</v>
      </c>
      <c r="CE22" s="116">
        <f>+(CE20-BZ20)*10000</f>
        <v>36.995274216048976</v>
      </c>
      <c r="CF22" s="111">
        <f>(CF20-CA20)*10000</f>
        <v>-10.328305182288611</v>
      </c>
      <c r="CG22" s="111">
        <f>(CG20-CB20)*10000</f>
        <v>-10.796462358692304</v>
      </c>
      <c r="CH22" s="111">
        <f>(CH20-CC20)*10000</f>
        <v>-3.8668612817147063</v>
      </c>
      <c r="CI22" s="111">
        <f>(CI20-CD20)*10000</f>
        <v>-5.4926299272509134</v>
      </c>
      <c r="CJ22" s="116">
        <f>+(CJ20-CE20)*10000</f>
        <v>-7.9469415036304003</v>
      </c>
      <c r="CK22" s="111">
        <f>(CK20-CF20)*10000</f>
        <v>-16.22406312886654</v>
      </c>
      <c r="CL22" s="111">
        <f>(CL20-CG20)*10000</f>
        <v>-16.556289985391327</v>
      </c>
      <c r="CM22" s="111">
        <f>(CM20-CH20)*10000</f>
        <v>-12.57559762123439</v>
      </c>
      <c r="CN22" s="111">
        <f>(CN20-CI20)*10000</f>
        <v>-13.796034494928389</v>
      </c>
      <c r="CO22" s="116">
        <f>+(CO20-CJ20)*10000</f>
        <v>-14.989467328245244</v>
      </c>
      <c r="CP22" s="111">
        <f>(CP20-CK20)*10000</f>
        <v>-27.497939481507807</v>
      </c>
      <c r="CQ22" s="111">
        <f>(CQ20-CL20)*10000</f>
        <v>-27.731605030743566</v>
      </c>
      <c r="CR22" s="111">
        <f>(CR20-CM20)*10000</f>
        <v>-24.013782880001333</v>
      </c>
      <c r="CS22" s="111">
        <f>(CS20-CN20)*10000</f>
        <v>-24.950647366990264</v>
      </c>
      <c r="CT22" s="116">
        <f>+(CT20-CO20)*10000</f>
        <v>-26.228223430592166</v>
      </c>
      <c r="CU22" s="111">
        <f>(CU20-CP20)*10000</f>
        <v>-15.69326480287403</v>
      </c>
      <c r="CV22" s="111">
        <f>(CV20-CQ20)*10000</f>
        <v>-15.944064789573108</v>
      </c>
      <c r="CW22" s="111">
        <f>(CW20-CR20)*10000</f>
        <v>-13.452395352541725</v>
      </c>
      <c r="CX22" s="111">
        <f>(CX20-CS20)*10000</f>
        <v>-14.35467056807166</v>
      </c>
      <c r="CY22" s="116">
        <f>+(CY20-CT20)*10000</f>
        <v>-14.998644290324382</v>
      </c>
      <c r="CZ22" s="2"/>
      <c r="DB22" s="781"/>
      <c r="DC22" s="781"/>
      <c r="DE22" s="5"/>
      <c r="DG22" s="781"/>
      <c r="DH22" s="781"/>
      <c r="DI22" s="730"/>
      <c r="DJ22" s="730"/>
      <c r="DK22" s="730"/>
      <c r="DL22" s="730"/>
      <c r="DM22" s="730"/>
      <c r="DN22" s="730"/>
      <c r="DU22" s="48"/>
      <c r="DV22" s="48"/>
      <c r="DW22" s="730"/>
      <c r="DX22" s="730"/>
      <c r="DZ22" s="931"/>
      <c r="EA22" s="931"/>
      <c r="EB22" s="931"/>
      <c r="EC22" s="931"/>
      <c r="FO22" s="731"/>
    </row>
    <row r="23" spans="1:171" x14ac:dyDescent="0.2">
      <c r="A23" s="48"/>
      <c r="B23" s="48"/>
      <c r="C23" s="48"/>
      <c r="D23" s="119"/>
      <c r="E23" s="119"/>
      <c r="F23" s="119"/>
      <c r="G23" s="56"/>
      <c r="H23" s="101"/>
      <c r="I23" s="119"/>
      <c r="J23" s="56"/>
      <c r="K23" s="56"/>
      <c r="L23" s="56"/>
      <c r="M23" s="101"/>
      <c r="N23" s="119"/>
      <c r="O23" s="56"/>
      <c r="P23" s="56"/>
      <c r="Q23" s="56"/>
      <c r="R23" s="101"/>
      <c r="S23" s="119"/>
      <c r="T23" s="56"/>
      <c r="U23" s="56"/>
      <c r="V23" s="56"/>
      <c r="W23" s="101"/>
      <c r="X23" s="119"/>
      <c r="Y23" s="56"/>
      <c r="Z23" s="56"/>
      <c r="AA23" s="56"/>
      <c r="AB23" s="101"/>
      <c r="AC23" s="119"/>
      <c r="AD23" s="56"/>
      <c r="AE23" s="56"/>
      <c r="AF23" s="56"/>
      <c r="AG23" s="101"/>
      <c r="AH23" s="119"/>
      <c r="AI23" s="119"/>
      <c r="AJ23" s="56"/>
      <c r="AK23" s="56"/>
      <c r="AL23" s="101"/>
      <c r="AM23" s="56"/>
      <c r="AN23" s="56"/>
      <c r="AO23" s="56"/>
      <c r="AP23" s="56"/>
      <c r="AQ23" s="101"/>
      <c r="AR23" s="56"/>
      <c r="AS23" s="56"/>
      <c r="AT23" s="103"/>
      <c r="AU23" s="56"/>
      <c r="AV23" s="101"/>
      <c r="AW23" s="120"/>
      <c r="AX23" s="120"/>
      <c r="AY23" s="120"/>
      <c r="AZ23" s="120"/>
      <c r="BA23" s="121"/>
      <c r="BB23" s="226"/>
      <c r="BC23" s="122"/>
      <c r="BD23" s="226"/>
      <c r="BE23" s="122"/>
      <c r="BF23" s="121"/>
      <c r="BG23" s="88"/>
      <c r="BH23" s="314"/>
      <c r="BI23" s="56"/>
      <c r="BJ23" s="56"/>
      <c r="BK23" s="101"/>
      <c r="BL23" s="56"/>
      <c r="BM23" s="56"/>
      <c r="BN23" s="400"/>
      <c r="BO23" s="56"/>
      <c r="BP23" s="101"/>
      <c r="BQ23" s="56"/>
      <c r="BR23" s="56"/>
      <c r="BS23" s="400"/>
      <c r="BT23" s="550"/>
      <c r="BU23" s="101"/>
      <c r="BV23" s="56"/>
      <c r="BW23" s="56"/>
      <c r="BX23" s="56"/>
      <c r="BY23" s="56"/>
      <c r="BZ23" s="101"/>
      <c r="CA23" s="56"/>
      <c r="CB23" s="56"/>
      <c r="CC23" s="56"/>
      <c r="CD23" s="56"/>
      <c r="CE23" s="199"/>
      <c r="CF23" s="56"/>
      <c r="CG23" s="56"/>
      <c r="CH23" s="56"/>
      <c r="CI23" s="56"/>
      <c r="CJ23" s="607"/>
      <c r="CK23" s="56"/>
      <c r="CL23" s="56"/>
      <c r="CM23" s="56"/>
      <c r="CN23" s="56"/>
      <c r="CO23" s="234"/>
      <c r="CP23" s="56"/>
      <c r="CQ23" s="56"/>
      <c r="CR23" s="56"/>
      <c r="CS23" s="56"/>
      <c r="CT23" s="101"/>
      <c r="CU23" s="56"/>
      <c r="CV23" s="56"/>
      <c r="CW23" s="56"/>
      <c r="CX23" s="56"/>
      <c r="CY23" s="101"/>
      <c r="CZ23" s="103"/>
      <c r="DA23" s="789"/>
      <c r="DB23" s="9"/>
      <c r="DC23" s="9"/>
      <c r="DG23" s="9"/>
      <c r="DH23" s="9"/>
      <c r="DI23" s="730"/>
      <c r="DJ23" s="730"/>
      <c r="DK23" s="730"/>
      <c r="DL23" s="730"/>
      <c r="DM23" s="730"/>
      <c r="DN23" s="730"/>
      <c r="DU23" s="48"/>
      <c r="DV23" s="48"/>
      <c r="DW23" s="730"/>
      <c r="DX23" s="730"/>
      <c r="DY23" s="730"/>
      <c r="DZ23" s="490"/>
      <c r="EA23" s="863"/>
      <c r="EB23" s="9"/>
      <c r="EC23" s="853"/>
    </row>
    <row r="24" spans="1:171" hidden="1" outlineLevel="1" x14ac:dyDescent="0.2">
      <c r="A24" s="48" t="s">
        <v>17</v>
      </c>
      <c r="B24" s="78"/>
      <c r="C24" s="78"/>
      <c r="D24" s="104"/>
      <c r="E24" s="104"/>
      <c r="F24" s="104"/>
      <c r="G24" s="104"/>
      <c r="H24" s="105"/>
      <c r="I24" s="104"/>
      <c r="J24" s="104"/>
      <c r="K24" s="104"/>
      <c r="L24" s="104"/>
      <c r="M24" s="105"/>
      <c r="N24" s="104"/>
      <c r="O24" s="104"/>
      <c r="P24" s="104"/>
      <c r="Q24" s="104"/>
      <c r="R24" s="105"/>
      <c r="S24" s="104"/>
      <c r="T24" s="104"/>
      <c r="U24" s="104"/>
      <c r="V24" s="104"/>
      <c r="W24" s="105"/>
      <c r="X24" s="104"/>
      <c r="Y24" s="104"/>
      <c r="Z24" s="104"/>
      <c r="AA24" s="104"/>
      <c r="AB24" s="105">
        <v>-85.500000000000156</v>
      </c>
      <c r="AC24" s="104">
        <v>131.3000000000001</v>
      </c>
      <c r="AD24" s="104">
        <v>146.1</v>
      </c>
      <c r="AE24" s="104">
        <v>216.79999999999998</v>
      </c>
      <c r="AF24" s="104">
        <v>103.80000000000001</v>
      </c>
      <c r="AG24" s="105">
        <v>-93.400000000000276</v>
      </c>
      <c r="AH24" s="104">
        <v>-24.299999999999972</v>
      </c>
      <c r="AI24" s="104">
        <v>-20.399999999999984</v>
      </c>
      <c r="AJ24" s="104">
        <v>-28.00000000000005</v>
      </c>
      <c r="AK24" s="104">
        <v>-26.599999999999969</v>
      </c>
      <c r="AL24" s="105">
        <v>-99.299999999999926</v>
      </c>
      <c r="AM24" s="104">
        <v>-26.4</v>
      </c>
      <c r="AN24" s="104">
        <v>-27.5</v>
      </c>
      <c r="AO24" s="104">
        <v>-25.5</v>
      </c>
      <c r="AP24" s="104">
        <v>-27.1</v>
      </c>
      <c r="AQ24" s="105">
        <f>SUM(AM24:AP24)</f>
        <v>-106.5</v>
      </c>
      <c r="AR24" s="104">
        <v>-21.1</v>
      </c>
      <c r="AS24" s="104">
        <v>-18.7</v>
      </c>
      <c r="AT24" s="106">
        <v>-19.3</v>
      </c>
      <c r="AU24" s="104">
        <v>-22.8</v>
      </c>
      <c r="AV24" s="105">
        <f>SUM(AR24:AU24)</f>
        <v>-81.899999999999991</v>
      </c>
      <c r="AW24" s="104">
        <v>-23.4</v>
      </c>
      <c r="AX24" s="104">
        <v>-20.7</v>
      </c>
      <c r="AY24" s="106">
        <v>-23.6</v>
      </c>
      <c r="AZ24" s="104">
        <v>-25.8</v>
      </c>
      <c r="BA24" s="105">
        <f>SUM(AW24:AZ24)</f>
        <v>-93.499999999999986</v>
      </c>
      <c r="BB24" s="104"/>
      <c r="BC24" s="104"/>
      <c r="BD24" s="104"/>
      <c r="BE24" s="104"/>
      <c r="BF24" s="105"/>
      <c r="BG24" s="104"/>
      <c r="BH24" s="104"/>
      <c r="BI24" s="104"/>
      <c r="BJ24" s="104"/>
      <c r="BK24" s="105"/>
      <c r="BL24" s="104"/>
      <c r="BM24" s="104"/>
      <c r="BN24" s="104"/>
      <c r="BO24" s="104"/>
      <c r="BP24" s="105"/>
      <c r="BQ24" s="104"/>
      <c r="BR24" s="104"/>
      <c r="BS24" s="104"/>
      <c r="BT24" s="104"/>
      <c r="BU24" s="105"/>
      <c r="BV24" s="104"/>
      <c r="BW24" s="104"/>
      <c r="BX24" s="88"/>
      <c r="BY24" s="104"/>
      <c r="BZ24" s="105"/>
      <c r="CA24" s="104"/>
      <c r="CB24" s="104"/>
      <c r="CC24" s="104"/>
      <c r="CD24" s="104"/>
      <c r="CE24" s="105"/>
      <c r="CF24" s="104"/>
      <c r="CG24" s="104"/>
      <c r="CH24" s="104"/>
      <c r="CI24" s="104"/>
      <c r="CJ24" s="105"/>
      <c r="CK24" s="104"/>
      <c r="CL24" s="104"/>
      <c r="CM24" s="104"/>
      <c r="CN24" s="104"/>
      <c r="CO24" s="105"/>
      <c r="CP24" s="104"/>
      <c r="CQ24" s="104"/>
      <c r="CR24" s="104"/>
      <c r="CS24" s="104"/>
      <c r="CT24" s="105"/>
      <c r="CU24" s="104"/>
      <c r="CV24" s="104"/>
      <c r="CW24" s="104"/>
      <c r="CX24" s="104"/>
      <c r="CY24" s="105"/>
      <c r="CZ24" s="106"/>
      <c r="DA24" s="790"/>
      <c r="DB24" s="308"/>
      <c r="DC24" s="308"/>
      <c r="DD24" s="748"/>
      <c r="DG24" s="308"/>
      <c r="DH24" s="308"/>
      <c r="DI24" s="773"/>
      <c r="DJ24" s="730"/>
      <c r="DK24" s="730"/>
      <c r="DL24" s="730"/>
      <c r="DM24" s="730"/>
      <c r="DN24" s="730"/>
      <c r="DU24" s="48"/>
      <c r="DV24" s="89"/>
      <c r="DW24" s="739"/>
      <c r="DX24" s="739"/>
      <c r="DY24" s="564"/>
      <c r="DZ24" s="490"/>
      <c r="EA24" s="864"/>
      <c r="EB24" s="9"/>
      <c r="EC24" s="9"/>
    </row>
    <row r="25" spans="1:171" hidden="1" outlineLevel="1" x14ac:dyDescent="0.2">
      <c r="A25" s="48"/>
      <c r="B25" s="48" t="s">
        <v>59</v>
      </c>
      <c r="C25" s="48"/>
      <c r="D25" s="54"/>
      <c r="E25" s="54"/>
      <c r="F25" s="54"/>
      <c r="G25" s="54"/>
      <c r="H25" s="96"/>
      <c r="I25" s="54"/>
      <c r="J25" s="54"/>
      <c r="K25" s="54"/>
      <c r="L25" s="88"/>
      <c r="M25" s="96"/>
      <c r="N25" s="88"/>
      <c r="O25" s="88"/>
      <c r="P25" s="54"/>
      <c r="Q25" s="88"/>
      <c r="R25" s="96"/>
      <c r="S25" s="88"/>
      <c r="T25" s="88"/>
      <c r="U25" s="88"/>
      <c r="V25" s="88"/>
      <c r="W25" s="96"/>
      <c r="X25" s="88"/>
      <c r="Y25" s="88"/>
      <c r="Z25" s="54"/>
      <c r="AA25" s="88"/>
      <c r="AB25" s="96"/>
      <c r="AC25" s="88"/>
      <c r="AD25" s="88"/>
      <c r="AE25" s="54"/>
      <c r="AF25" s="88"/>
      <c r="AG25" s="96">
        <f>+AG24/AB24-1</f>
        <v>9.23976608187147E-2</v>
      </c>
      <c r="AH25" s="88"/>
      <c r="AI25" s="88"/>
      <c r="AJ25" s="54"/>
      <c r="AK25" s="54"/>
      <c r="AL25" s="96">
        <f t="shared" ref="AL25:BA25" si="29">+AL24/AG24-1</f>
        <v>6.3169164882223017E-2</v>
      </c>
      <c r="AM25" s="54">
        <f t="shared" si="29"/>
        <v>8.6419753086421025E-2</v>
      </c>
      <c r="AN25" s="54">
        <f t="shared" si="29"/>
        <v>0.34803921568627549</v>
      </c>
      <c r="AO25" s="54">
        <f t="shared" si="29"/>
        <v>-8.9285714285715856E-2</v>
      </c>
      <c r="AP25" s="54">
        <f t="shared" si="29"/>
        <v>1.8796992481204144E-2</v>
      </c>
      <c r="AQ25" s="96">
        <f t="shared" si="29"/>
        <v>7.2507552870091363E-2</v>
      </c>
      <c r="AR25" s="54">
        <f t="shared" si="29"/>
        <v>-0.20075757575757569</v>
      </c>
      <c r="AS25" s="54">
        <f t="shared" si="29"/>
        <v>-0.32000000000000006</v>
      </c>
      <c r="AT25" s="33">
        <f t="shared" si="29"/>
        <v>-0.24313725490196081</v>
      </c>
      <c r="AU25" s="33">
        <f t="shared" si="29"/>
        <v>-0.15867158671586723</v>
      </c>
      <c r="AV25" s="96">
        <f t="shared" si="29"/>
        <v>-0.23098591549295777</v>
      </c>
      <c r="AW25" s="54">
        <f t="shared" si="29"/>
        <v>0.1090047393364928</v>
      </c>
      <c r="AX25" s="54">
        <f t="shared" si="29"/>
        <v>0.10695187165775399</v>
      </c>
      <c r="AY25" s="33">
        <f t="shared" si="29"/>
        <v>0.22279792746114002</v>
      </c>
      <c r="AZ25" s="33">
        <f t="shared" si="29"/>
        <v>0.13157894736842102</v>
      </c>
      <c r="BA25" s="96">
        <f t="shared" si="29"/>
        <v>0.14163614163614158</v>
      </c>
      <c r="BB25" s="123"/>
      <c r="BC25" s="123"/>
      <c r="BD25" s="123"/>
      <c r="BE25" s="123"/>
      <c r="BF25" s="96"/>
      <c r="BG25" s="123"/>
      <c r="BH25" s="123"/>
      <c r="BI25" s="123"/>
      <c r="BJ25" s="123"/>
      <c r="BK25" s="96"/>
      <c r="BL25" s="123"/>
      <c r="BM25" s="123"/>
      <c r="BN25" s="123"/>
      <c r="BO25" s="123"/>
      <c r="BP25" s="96"/>
      <c r="BQ25" s="123"/>
      <c r="BR25" s="123"/>
      <c r="BS25" s="123"/>
      <c r="BT25" s="123"/>
      <c r="BU25" s="96"/>
      <c r="BV25" s="123"/>
      <c r="BW25" s="123"/>
      <c r="BX25" s="123"/>
      <c r="BY25" s="123"/>
      <c r="BZ25" s="96"/>
      <c r="CA25" s="123"/>
      <c r="CB25" s="123"/>
      <c r="CC25" s="123"/>
      <c r="CD25" s="123"/>
      <c r="CE25" s="101"/>
      <c r="CF25" s="123"/>
      <c r="CG25" s="123"/>
      <c r="CH25" s="123"/>
      <c r="CI25" s="123"/>
      <c r="CJ25" s="96"/>
      <c r="CK25" s="123"/>
      <c r="CL25" s="123"/>
      <c r="CM25" s="123"/>
      <c r="CN25" s="123"/>
      <c r="CO25" s="96"/>
      <c r="CP25" s="123"/>
      <c r="CQ25" s="123"/>
      <c r="CR25" s="123"/>
      <c r="CS25" s="123"/>
      <c r="CT25" s="96"/>
      <c r="CU25" s="123"/>
      <c r="CV25" s="123"/>
      <c r="CW25" s="123"/>
      <c r="CX25" s="123"/>
      <c r="CY25" s="96"/>
      <c r="CZ25" s="92"/>
      <c r="DA25" s="791"/>
      <c r="DB25" s="748"/>
      <c r="DC25" s="748"/>
      <c r="DD25" s="778"/>
      <c r="DG25" s="748"/>
      <c r="DH25" s="748"/>
      <c r="DI25" s="779"/>
      <c r="DJ25" s="730"/>
      <c r="DK25" s="730"/>
      <c r="DL25" s="730"/>
      <c r="DM25" s="730"/>
      <c r="DN25" s="730"/>
      <c r="DU25" s="48"/>
      <c r="DV25" s="48"/>
      <c r="DW25" s="730"/>
      <c r="DX25" s="730"/>
      <c r="DY25" s="744"/>
      <c r="DZ25" s="490"/>
      <c r="EA25" s="718"/>
      <c r="EB25" s="9"/>
      <c r="EC25" s="854"/>
      <c r="ED25" s="564"/>
    </row>
    <row r="26" spans="1:171" ht="12" hidden="1" customHeight="1" outlineLevel="1" x14ac:dyDescent="0.2">
      <c r="A26" s="48"/>
      <c r="B26" s="48"/>
      <c r="C26" s="48"/>
      <c r="D26" s="119"/>
      <c r="E26" s="119"/>
      <c r="F26" s="119"/>
      <c r="G26" s="56"/>
      <c r="H26" s="101"/>
      <c r="I26" s="119"/>
      <c r="J26" s="56"/>
      <c r="K26" s="56"/>
      <c r="L26" s="56"/>
      <c r="M26" s="101"/>
      <c r="N26" s="119"/>
      <c r="O26" s="56"/>
      <c r="P26" s="56"/>
      <c r="Q26" s="56"/>
      <c r="R26" s="101"/>
      <c r="S26" s="119"/>
      <c r="T26" s="56"/>
      <c r="U26" s="56"/>
      <c r="V26" s="56"/>
      <c r="W26" s="101"/>
      <c r="X26" s="119"/>
      <c r="Y26" s="56"/>
      <c r="Z26" s="56"/>
      <c r="AA26" s="56"/>
      <c r="AB26" s="101"/>
      <c r="AC26" s="119"/>
      <c r="AD26" s="56"/>
      <c r="AE26" s="56"/>
      <c r="AF26" s="56"/>
      <c r="AG26" s="101"/>
      <c r="AH26" s="119"/>
      <c r="AI26" s="119"/>
      <c r="AJ26" s="56"/>
      <c r="AK26" s="56"/>
      <c r="AL26" s="101"/>
      <c r="AM26" s="56"/>
      <c r="AN26" s="56"/>
      <c r="AO26" s="56"/>
      <c r="AP26" s="56"/>
      <c r="AQ26" s="101"/>
      <c r="AR26" s="56"/>
      <c r="AS26" s="56"/>
      <c r="AT26" s="103"/>
      <c r="AU26" s="56"/>
      <c r="AV26" s="101"/>
      <c r="AW26" s="56"/>
      <c r="AX26" s="56"/>
      <c r="AY26" s="56"/>
      <c r="AZ26" s="56"/>
      <c r="BA26" s="101"/>
      <c r="BB26" s="56"/>
      <c r="BC26" s="56"/>
      <c r="BD26" s="56"/>
      <c r="BE26" s="56"/>
      <c r="BF26" s="101"/>
      <c r="BG26" s="56"/>
      <c r="BH26" s="56"/>
      <c r="BI26" s="56"/>
      <c r="BJ26" s="56"/>
      <c r="BK26" s="101"/>
      <c r="BL26" s="56"/>
      <c r="BM26" s="56"/>
      <c r="BN26" s="56"/>
      <c r="BO26" s="56"/>
      <c r="BP26" s="101"/>
      <c r="BQ26" s="56"/>
      <c r="BR26" s="56"/>
      <c r="BS26" s="56"/>
      <c r="BT26" s="56"/>
      <c r="BU26" s="101"/>
      <c r="BV26" s="56"/>
      <c r="BW26" s="56"/>
      <c r="BX26" s="56"/>
      <c r="BY26" s="56"/>
      <c r="BZ26" s="101"/>
      <c r="CA26" s="56"/>
      <c r="CB26" s="56"/>
      <c r="CC26" s="56"/>
      <c r="CD26" s="56"/>
      <c r="CE26" s="101"/>
      <c r="CF26" s="56"/>
      <c r="CG26" s="56"/>
      <c r="CH26" s="56"/>
      <c r="CI26" s="56"/>
      <c r="CJ26" s="101"/>
      <c r="CK26" s="56"/>
      <c r="CL26" s="56"/>
      <c r="CM26" s="56"/>
      <c r="CN26" s="56"/>
      <c r="CO26" s="101"/>
      <c r="CP26" s="56"/>
      <c r="CQ26" s="56"/>
      <c r="CR26" s="56"/>
      <c r="CS26" s="56"/>
      <c r="CT26" s="101"/>
      <c r="CU26" s="56"/>
      <c r="CV26" s="56"/>
      <c r="CW26" s="56"/>
      <c r="CX26" s="56"/>
      <c r="CY26" s="101"/>
      <c r="CZ26" s="103"/>
      <c r="DB26" s="9"/>
      <c r="DC26" s="9"/>
      <c r="DG26" s="9"/>
      <c r="DH26" s="9"/>
      <c r="DI26" s="730"/>
      <c r="DJ26" s="730"/>
      <c r="DK26" s="730"/>
      <c r="DL26" s="730"/>
      <c r="DM26" s="730"/>
      <c r="DN26" s="730"/>
      <c r="DU26" s="48"/>
      <c r="DV26" s="48"/>
      <c r="DW26" s="730"/>
      <c r="DX26" s="730"/>
      <c r="DZ26" s="490"/>
      <c r="EA26" s="718"/>
      <c r="EB26" s="9"/>
      <c r="EC26" s="9"/>
    </row>
    <row r="27" spans="1:171" collapsed="1" x14ac:dyDescent="0.2">
      <c r="A27" s="78" t="s">
        <v>67</v>
      </c>
      <c r="B27" s="78"/>
      <c r="C27" s="78"/>
      <c r="D27" s="84">
        <v>110.83499999999999</v>
      </c>
      <c r="E27" s="84">
        <v>144.292</v>
      </c>
      <c r="F27" s="84">
        <v>174.33099999999999</v>
      </c>
      <c r="G27" s="84">
        <v>129.49</v>
      </c>
      <c r="H27" s="85">
        <v>558.94799999999998</v>
      </c>
      <c r="I27" s="84">
        <v>123.642</v>
      </c>
      <c r="J27" s="84">
        <v>158.30000000000001</v>
      </c>
      <c r="K27" s="84">
        <v>185.221</v>
      </c>
      <c r="L27" s="84">
        <v>159.5</v>
      </c>
      <c r="M27" s="85">
        <v>626.70000000000005</v>
      </c>
      <c r="N27" s="84">
        <f t="shared" ref="N27:AK27" si="30">+N15+N19</f>
        <v>157.73499999999987</v>
      </c>
      <c r="O27" s="84">
        <f t="shared" si="30"/>
        <v>196.95900000000003</v>
      </c>
      <c r="P27" s="84">
        <f t="shared" si="30"/>
        <v>242.40000000000015</v>
      </c>
      <c r="Q27" s="84">
        <f t="shared" si="30"/>
        <v>162.90000000000003</v>
      </c>
      <c r="R27" s="85">
        <f t="shared" si="30"/>
        <v>760.00000000000011</v>
      </c>
      <c r="S27" s="84">
        <f t="shared" si="30"/>
        <v>164.80000000000007</v>
      </c>
      <c r="T27" s="84">
        <f t="shared" si="30"/>
        <v>237.39999999999998</v>
      </c>
      <c r="U27" s="84">
        <f t="shared" si="30"/>
        <v>278.89999999999986</v>
      </c>
      <c r="V27" s="84">
        <f t="shared" si="30"/>
        <v>161.39999999999984</v>
      </c>
      <c r="W27" s="85">
        <f t="shared" si="30"/>
        <v>842.59999999999968</v>
      </c>
      <c r="X27" s="84">
        <f t="shared" si="30"/>
        <v>82.300000000000068</v>
      </c>
      <c r="Y27" s="84">
        <f t="shared" si="30"/>
        <v>125.10000000000005</v>
      </c>
      <c r="Z27" s="84">
        <f t="shared" si="30"/>
        <v>200.39999999999995</v>
      </c>
      <c r="AA27" s="84">
        <f t="shared" si="30"/>
        <v>137.09999999999997</v>
      </c>
      <c r="AB27" s="85">
        <f t="shared" si="30"/>
        <v>544.89999999999986</v>
      </c>
      <c r="AC27" s="84">
        <f t="shared" si="30"/>
        <v>131.3000000000001</v>
      </c>
      <c r="AD27" s="84">
        <f t="shared" si="30"/>
        <v>146.1</v>
      </c>
      <c r="AE27" s="84">
        <f t="shared" si="30"/>
        <v>216.79999999999998</v>
      </c>
      <c r="AF27" s="84">
        <f t="shared" si="30"/>
        <v>103.80000000000001</v>
      </c>
      <c r="AG27" s="85">
        <f t="shared" si="30"/>
        <v>597.99999999999977</v>
      </c>
      <c r="AH27" s="84">
        <f t="shared" si="30"/>
        <v>123.30000000000004</v>
      </c>
      <c r="AI27" s="84">
        <f t="shared" si="30"/>
        <v>167.50000000000003</v>
      </c>
      <c r="AJ27" s="84">
        <f t="shared" si="30"/>
        <v>190.29999999999995</v>
      </c>
      <c r="AK27" s="84">
        <f t="shared" si="30"/>
        <v>74.500000000000028</v>
      </c>
      <c r="AL27" s="85">
        <f>+AH27+AI27+AJ27+AK27</f>
        <v>555.6</v>
      </c>
      <c r="AM27" s="84">
        <f>+AM15+AM19</f>
        <v>103.19999999999999</v>
      </c>
      <c r="AN27" s="84">
        <f>+AN15+AN19</f>
        <v>150.49999999999997</v>
      </c>
      <c r="AO27" s="84">
        <f>+AO15+AO19</f>
        <v>176.3</v>
      </c>
      <c r="AP27" s="84">
        <f>+AP15+AP19</f>
        <v>103.69999999999999</v>
      </c>
      <c r="AQ27" s="85">
        <f>+AM27+AN27+AO27+AP27</f>
        <v>533.70000000000005</v>
      </c>
      <c r="AR27" s="84">
        <f>+AR15+AR19</f>
        <v>115.49999999999994</v>
      </c>
      <c r="AS27" s="84">
        <f>+AS15+AS19</f>
        <v>148.60000000000002</v>
      </c>
      <c r="AT27" s="84">
        <f>+AT15+AT19</f>
        <v>152.80000000000004</v>
      </c>
      <c r="AU27" s="84">
        <f>+AU15+AU19</f>
        <v>123.1</v>
      </c>
      <c r="AV27" s="85">
        <f>+AR27+AS27+AT27+AU27</f>
        <v>540</v>
      </c>
      <c r="AW27" s="84">
        <f>+AW15+AW19</f>
        <v>109.59999999999997</v>
      </c>
      <c r="AX27" s="84">
        <f>+AX15+AX19</f>
        <v>140.60000000000002</v>
      </c>
      <c r="AY27" s="84">
        <f>+AY15+AY19</f>
        <v>172.89999999999995</v>
      </c>
      <c r="AZ27" s="84">
        <f>+AZ15+AZ19</f>
        <v>133.6</v>
      </c>
      <c r="BA27" s="85">
        <f>+AW27+AX27+AY27+AZ27</f>
        <v>556.69999999999993</v>
      </c>
      <c r="BB27" s="84">
        <f>+BB15+BB19</f>
        <v>103.59999999999997</v>
      </c>
      <c r="BC27" s="84">
        <f>+BC15+BC19</f>
        <v>351.90000000000003</v>
      </c>
      <c r="BD27" s="84">
        <f>+BD15+BD19</f>
        <v>375</v>
      </c>
      <c r="BE27" s="84">
        <f>+BE15+BE19</f>
        <v>337.80000000000013</v>
      </c>
      <c r="BF27" s="85">
        <f>+BB27+BC27+BD27+BE27</f>
        <v>1168.3000000000002</v>
      </c>
      <c r="BG27" s="84">
        <f t="shared" ref="BG27:BP27" si="31">+BG15+BG19</f>
        <v>404.6</v>
      </c>
      <c r="BH27" s="84">
        <f t="shared" si="31"/>
        <v>413.39999999999981</v>
      </c>
      <c r="BI27" s="84">
        <f t="shared" si="31"/>
        <v>415.30000000000007</v>
      </c>
      <c r="BJ27" s="84">
        <f t="shared" si="31"/>
        <v>349.70000000000005</v>
      </c>
      <c r="BK27" s="85">
        <f t="shared" si="31"/>
        <v>1583</v>
      </c>
      <c r="BL27" s="84">
        <f t="shared" si="31"/>
        <v>454.19999999999993</v>
      </c>
      <c r="BM27" s="84">
        <f t="shared" si="31"/>
        <v>500.9000000000002</v>
      </c>
      <c r="BN27" s="84">
        <f>+BN15+BN19</f>
        <v>475.8</v>
      </c>
      <c r="BO27" s="84">
        <f>+BO15+BO19</f>
        <v>434.70000000000005</v>
      </c>
      <c r="BP27" s="85">
        <f t="shared" si="31"/>
        <v>1865.6</v>
      </c>
      <c r="BQ27" s="84">
        <f t="shared" ref="BQ27:BU27" si="32">+BQ15+BQ19</f>
        <v>548.69999999999993</v>
      </c>
      <c r="BR27" s="84">
        <f t="shared" si="32"/>
        <v>620.20000000000005</v>
      </c>
      <c r="BS27" s="84">
        <f t="shared" si="32"/>
        <v>531.6</v>
      </c>
      <c r="BT27" s="84">
        <f t="shared" si="32"/>
        <v>494.80000000000007</v>
      </c>
      <c r="BU27" s="85">
        <f t="shared" si="32"/>
        <v>2195.3000000000002</v>
      </c>
      <c r="BV27" s="84">
        <f>+BV15+BV19</f>
        <v>668.8</v>
      </c>
      <c r="BW27" s="84">
        <f>+BW15+BW19</f>
        <v>709.80000000000018</v>
      </c>
      <c r="BX27" s="84">
        <f>+BX15+BX19</f>
        <v>550.09999999999991</v>
      </c>
      <c r="BY27" s="84">
        <f>+BY15+BY19</f>
        <v>544.50000000000023</v>
      </c>
      <c r="BZ27" s="85">
        <f>+BZ15+BZ19</f>
        <v>2473.2000000000003</v>
      </c>
      <c r="CA27" s="84">
        <f>+'Pro-Forma Segments'!AW28</f>
        <v>703.24383952050005</v>
      </c>
      <c r="CB27" s="84">
        <f>+'Pro-Forma Segments'!AX28</f>
        <v>783.36778944800017</v>
      </c>
      <c r="CC27" s="84">
        <f>+'Pro-Forma Segments'!AY28</f>
        <v>631.32348453575014</v>
      </c>
      <c r="CD27" s="84">
        <f>+'Pro-Forma Segments'!AZ28</f>
        <v>602.39322189450013</v>
      </c>
      <c r="CE27" s="85">
        <f>+CE15+CE19</f>
        <v>2720.3283353987495</v>
      </c>
      <c r="CF27" s="84">
        <f>+'Pro-Forma Segments'!BB28</f>
        <v>772.22477146468782</v>
      </c>
      <c r="CG27" s="84">
        <f>+'Pro-Forma Segments'!BC28</f>
        <v>859.65030572577302</v>
      </c>
      <c r="CH27" s="84">
        <f>+'Pro-Forma Segments'!BD28</f>
        <v>690.32035129751296</v>
      </c>
      <c r="CI27" s="84">
        <f>+'Pro-Forma Segments'!BE28</f>
        <v>658.74695682994911</v>
      </c>
      <c r="CJ27" s="85">
        <f>+CJ15+CJ19</f>
        <v>2980.9423853179233</v>
      </c>
      <c r="CK27" s="84">
        <f>+'Pro-Forma Segments'!BG28</f>
        <v>827.57631041928573</v>
      </c>
      <c r="CL27" s="84">
        <f>+'Pro-Forma Segments'!BH28</f>
        <v>920.94687750134835</v>
      </c>
      <c r="CM27" s="84">
        <f>+'Pro-Forma Segments'!BI28</f>
        <v>737.74018841863381</v>
      </c>
      <c r="CN27" s="84">
        <f>+'Pro-Forma Segments'!BJ28</f>
        <v>704.04922713765654</v>
      </c>
      <c r="CO27" s="85">
        <f>+CO15+CO19</f>
        <v>3190.3126034769248</v>
      </c>
      <c r="CP27" s="84">
        <f>+'Pro-Forma Segments'!BL28</f>
        <v>881.5771631273534</v>
      </c>
      <c r="CQ27" s="84">
        <f>+'Pro-Forma Segments'!BM28</f>
        <v>980.72303443377223</v>
      </c>
      <c r="CR27" s="84">
        <f>+'Pro-Forma Segments'!BN28</f>
        <v>784.13134555290992</v>
      </c>
      <c r="CS27" s="84">
        <f>+'Pro-Forma Segments'!BO28</f>
        <v>748.36072138195061</v>
      </c>
      <c r="CT27" s="85">
        <f>+CT15+CT19</f>
        <v>3394.7922644959881</v>
      </c>
      <c r="CU27" s="84">
        <f>+'Pro-Forma Segments'!BQ28</f>
        <v>932.19945313484084</v>
      </c>
      <c r="CV27" s="84">
        <f>+'Pro-Forma Segments'!BR28</f>
        <v>1036.7912356744275</v>
      </c>
      <c r="CW27" s="84">
        <f>+'Pro-Forma Segments'!BS28</f>
        <v>827.61248699859971</v>
      </c>
      <c r="CX27" s="84">
        <f>+'Pro-Forma Segments'!BT28</f>
        <v>789.89630175786806</v>
      </c>
      <c r="CY27" s="85">
        <f>+CY15+CY19</f>
        <v>3586.4994775657356</v>
      </c>
      <c r="CZ27" s="124"/>
      <c r="DA27" s="792"/>
      <c r="DB27" s="738"/>
      <c r="DC27" s="738"/>
      <c r="DD27" s="748"/>
      <c r="DE27" s="772"/>
      <c r="DF27" s="7"/>
      <c r="DG27" s="738"/>
      <c r="DH27" s="738"/>
      <c r="DI27" s="773"/>
      <c r="DJ27" s="733"/>
      <c r="DK27" s="733"/>
      <c r="DL27" s="733"/>
      <c r="DM27" s="733"/>
      <c r="DN27" s="733"/>
      <c r="DU27" s="78"/>
      <c r="DV27" s="89"/>
      <c r="DW27" s="739"/>
      <c r="DX27" s="739"/>
      <c r="DY27" s="730"/>
      <c r="EA27" s="730"/>
      <c r="EB27" s="665"/>
      <c r="EC27" s="665"/>
    </row>
    <row r="28" spans="1:171" x14ac:dyDescent="0.2">
      <c r="A28" s="125"/>
      <c r="B28" s="48" t="s">
        <v>68</v>
      </c>
      <c r="C28" s="125"/>
      <c r="D28" s="90">
        <f t="shared" ref="D28:AI28" si="33">+D27/D5</f>
        <v>0.14341965988700855</v>
      </c>
      <c r="E28" s="90">
        <f t="shared" si="33"/>
        <v>0.15837745756609856</v>
      </c>
      <c r="F28" s="90">
        <f t="shared" si="33"/>
        <v>0.17658278365719654</v>
      </c>
      <c r="G28" s="90">
        <f t="shared" si="33"/>
        <v>0.14847557130244346</v>
      </c>
      <c r="H28" s="98">
        <f t="shared" si="33"/>
        <v>0.15775035532410414</v>
      </c>
      <c r="I28" s="90">
        <f t="shared" si="33"/>
        <v>0.13333477119178697</v>
      </c>
      <c r="J28" s="90">
        <f t="shared" si="33"/>
        <v>0.15266056603027559</v>
      </c>
      <c r="K28" s="90">
        <f t="shared" si="33"/>
        <v>0.17059880575954375</v>
      </c>
      <c r="L28" s="90">
        <f t="shared" si="33"/>
        <v>0.15370812417303584</v>
      </c>
      <c r="M28" s="98">
        <f t="shared" si="33"/>
        <v>0.15331592474676087</v>
      </c>
      <c r="N28" s="90">
        <f t="shared" si="33"/>
        <v>0.1438485775647835</v>
      </c>
      <c r="O28" s="90">
        <f t="shared" si="33"/>
        <v>0.16523974398448271</v>
      </c>
      <c r="P28" s="90">
        <f t="shared" si="33"/>
        <v>0.19130297529792448</v>
      </c>
      <c r="Q28" s="90">
        <f t="shared" si="33"/>
        <v>0.15545376467220157</v>
      </c>
      <c r="R28" s="98">
        <f t="shared" si="33"/>
        <v>0.16509177799500382</v>
      </c>
      <c r="S28" s="90">
        <f t="shared" si="33"/>
        <v>0.14257288692793499</v>
      </c>
      <c r="T28" s="90">
        <f t="shared" si="33"/>
        <v>0.1674779541446208</v>
      </c>
      <c r="U28" s="90">
        <f t="shared" si="33"/>
        <v>0.18583422174840078</v>
      </c>
      <c r="V28" s="90">
        <f t="shared" si="33"/>
        <v>0.14130625109437914</v>
      </c>
      <c r="W28" s="98">
        <f t="shared" si="33"/>
        <v>0.16152902384786438</v>
      </c>
      <c r="X28" s="90">
        <f t="shared" si="33"/>
        <v>9.1322680869951253E-2</v>
      </c>
      <c r="Y28" s="90">
        <f t="shared" si="33"/>
        <v>0.14015236388079771</v>
      </c>
      <c r="Z28" s="90">
        <f t="shared" si="33"/>
        <v>0.18304713189623673</v>
      </c>
      <c r="AA28" s="90">
        <f t="shared" si="33"/>
        <v>0.15502035278154677</v>
      </c>
      <c r="AB28" s="98">
        <f t="shared" si="33"/>
        <v>0.14442088523721172</v>
      </c>
      <c r="AC28" s="90">
        <f t="shared" si="33"/>
        <v>0.14091006653788377</v>
      </c>
      <c r="AD28" s="90">
        <f t="shared" si="33"/>
        <v>0.1527443805541035</v>
      </c>
      <c r="AE28" s="90">
        <f t="shared" si="33"/>
        <v>0.21024049650892163</v>
      </c>
      <c r="AF28" s="90">
        <f t="shared" si="33"/>
        <v>0.14120527819344308</v>
      </c>
      <c r="AG28" s="98">
        <f t="shared" si="33"/>
        <v>0.16362939856619049</v>
      </c>
      <c r="AH28" s="90">
        <f t="shared" si="33"/>
        <v>0.15576048509348162</v>
      </c>
      <c r="AI28" s="90">
        <f t="shared" si="33"/>
        <v>0.19103558394160586</v>
      </c>
      <c r="AJ28" s="90">
        <f t="shared" ref="AJ28:BF28" si="34">+AJ27/AJ5</f>
        <v>0.1926698390199453</v>
      </c>
      <c r="AK28" s="90">
        <f t="shared" si="34"/>
        <v>0.10512205446592356</v>
      </c>
      <c r="AL28" s="98">
        <f>+AL27/AL5</f>
        <v>0.1651212553495007</v>
      </c>
      <c r="AM28" s="90">
        <f t="shared" si="34"/>
        <v>0.13104761904761902</v>
      </c>
      <c r="AN28" s="90">
        <f t="shared" si="34"/>
        <v>0.17443208159480758</v>
      </c>
      <c r="AO28" s="90">
        <f t="shared" si="34"/>
        <v>0.18242963576158941</v>
      </c>
      <c r="AP28" s="90">
        <f t="shared" si="34"/>
        <v>0.1449741367258493</v>
      </c>
      <c r="AQ28" s="98">
        <f t="shared" si="34"/>
        <v>0.16017406962785116</v>
      </c>
      <c r="AR28" s="90">
        <f t="shared" si="34"/>
        <v>0.18180387218636856</v>
      </c>
      <c r="AS28" s="90">
        <f t="shared" si="34"/>
        <v>0.21529991306867577</v>
      </c>
      <c r="AT28" s="97">
        <f t="shared" si="34"/>
        <v>0.21806764663907524</v>
      </c>
      <c r="AU28" s="90">
        <f t="shared" si="34"/>
        <v>0.19598790001592101</v>
      </c>
      <c r="AV28" s="98">
        <f>+AV27/AV5</f>
        <v>0.2034434690878951</v>
      </c>
      <c r="AW28" s="90">
        <f t="shared" si="34"/>
        <v>0.17265280403276617</v>
      </c>
      <c r="AX28" s="90">
        <f t="shared" si="34"/>
        <v>0.20128847530422336</v>
      </c>
      <c r="AY28" s="90">
        <f t="shared" si="34"/>
        <v>0.22545312296257655</v>
      </c>
      <c r="AZ28" s="90">
        <f t="shared" si="34"/>
        <v>0.19198160655266561</v>
      </c>
      <c r="BA28" s="98">
        <f t="shared" si="34"/>
        <v>0.19909874468009012</v>
      </c>
      <c r="BB28" s="90">
        <f t="shared" si="34"/>
        <v>0.1538461538461538</v>
      </c>
      <c r="BC28" s="90">
        <f t="shared" si="34"/>
        <v>0.24106041923551175</v>
      </c>
      <c r="BD28" s="90">
        <f t="shared" si="34"/>
        <v>0.25982124298482645</v>
      </c>
      <c r="BE28" s="90">
        <f>+BE27/BE5</f>
        <v>0.26161710037174729</v>
      </c>
      <c r="BF28" s="98">
        <f t="shared" si="34"/>
        <v>0.24001068266327016</v>
      </c>
      <c r="BG28" s="90">
        <f t="shared" ref="BG28:BL28" si="35">+BG27/BG5</f>
        <v>0.26513761467889913</v>
      </c>
      <c r="BH28" s="90">
        <f t="shared" si="35"/>
        <v>0.25715352077631243</v>
      </c>
      <c r="BI28" s="90">
        <f t="shared" si="35"/>
        <v>0.2694129095037302</v>
      </c>
      <c r="BJ28" s="90">
        <f t="shared" si="35"/>
        <v>0.25848177988025722</v>
      </c>
      <c r="BK28" s="98">
        <f t="shared" si="35"/>
        <v>0.2626078301260783</v>
      </c>
      <c r="BL28" s="90">
        <f t="shared" si="35"/>
        <v>0.27842824741004102</v>
      </c>
      <c r="BM28" s="90">
        <f>+BM27/BM5</f>
        <v>0.28896965501326882</v>
      </c>
      <c r="BN28" s="90">
        <f>+BN27/BN5</f>
        <v>0.29003352636391344</v>
      </c>
      <c r="BO28" s="90">
        <f>+BO27/BO5</f>
        <v>0.28168740279937793</v>
      </c>
      <c r="BP28" s="98">
        <f>+BP27/BP5</f>
        <v>0.28489401991326124</v>
      </c>
      <c r="BQ28" s="90">
        <f>+BQ27/BQ5</f>
        <v>0.29314029276632114</v>
      </c>
      <c r="BR28" s="90">
        <f t="shared" ref="BR28:CY28" si="36">+BR27/BR5</f>
        <v>0.30684741737581639</v>
      </c>
      <c r="BS28" s="90">
        <f t="shared" ref="BS28:BX28" si="37">+BS27/BS5</f>
        <v>0.29362054681027344</v>
      </c>
      <c r="BT28" s="90">
        <f t="shared" si="37"/>
        <v>0.30393120393120399</v>
      </c>
      <c r="BU28" s="98">
        <f t="shared" si="37"/>
        <v>0.29943394939644002</v>
      </c>
      <c r="BV28" s="90">
        <f t="shared" si="37"/>
        <v>0.34554378713510719</v>
      </c>
      <c r="BW28" s="90">
        <f t="shared" si="37"/>
        <v>0.34051331254497491</v>
      </c>
      <c r="BX28" s="90">
        <f t="shared" si="37"/>
        <v>0.30576399310766489</v>
      </c>
      <c r="BY28" s="90">
        <f t="shared" si="36"/>
        <v>0.30834135568265486</v>
      </c>
      <c r="BZ28" s="98">
        <f t="shared" si="36"/>
        <v>0.32606460118655245</v>
      </c>
      <c r="CA28" s="90">
        <f t="shared" si="36"/>
        <v>0.3396313192030071</v>
      </c>
      <c r="CB28" s="90">
        <f t="shared" si="36"/>
        <v>0.34704484205474945</v>
      </c>
      <c r="CC28" s="90">
        <f t="shared" si="36"/>
        <v>0.31971623999091908</v>
      </c>
      <c r="CD28" s="90">
        <f t="shared" si="36"/>
        <v>0.31795395961797507</v>
      </c>
      <c r="CE28" s="98">
        <f t="shared" si="36"/>
        <v>0.33186507376494756</v>
      </c>
      <c r="CF28" s="90">
        <f t="shared" si="36"/>
        <v>0.349664149721236</v>
      </c>
      <c r="CG28" s="90">
        <f t="shared" si="36"/>
        <v>0.35712448829061866</v>
      </c>
      <c r="CH28" s="90">
        <f t="shared" si="36"/>
        <v>0.32910292611909059</v>
      </c>
      <c r="CI28" s="90">
        <f t="shared" si="36"/>
        <v>0.32746056617520092</v>
      </c>
      <c r="CJ28" s="98">
        <f t="shared" si="36"/>
        <v>0.34165976791531066</v>
      </c>
      <c r="CK28" s="90">
        <f t="shared" si="36"/>
        <v>0.35528655603412274</v>
      </c>
      <c r="CL28" s="90">
        <f t="shared" si="36"/>
        <v>0.36278011728915777</v>
      </c>
      <c r="CM28" s="90">
        <f t="shared" si="36"/>
        <v>0.33436048588121403</v>
      </c>
      <c r="CN28" s="90">
        <f t="shared" si="36"/>
        <v>0.33281181124395315</v>
      </c>
      <c r="CO28" s="98">
        <f t="shared" si="36"/>
        <v>0.34715871464813514</v>
      </c>
      <c r="CP28" s="90">
        <f t="shared" si="36"/>
        <v>0.36053634998227346</v>
      </c>
      <c r="CQ28" s="90">
        <f t="shared" si="36"/>
        <v>0.36805327779223224</v>
      </c>
      <c r="CR28" s="90">
        <f t="shared" si="36"/>
        <v>0.33926186416921411</v>
      </c>
      <c r="CS28" s="90">
        <f t="shared" si="36"/>
        <v>0.33778453623512589</v>
      </c>
      <c r="CT28" s="98">
        <f t="shared" si="36"/>
        <v>0.35228153699119441</v>
      </c>
      <c r="CU28" s="90">
        <f t="shared" si="36"/>
        <v>0.36460567646256081</v>
      </c>
      <c r="CV28" s="90">
        <f t="shared" si="36"/>
        <v>0.37214768427118944</v>
      </c>
      <c r="CW28" s="90">
        <f t="shared" si="36"/>
        <v>0.34310710370446834</v>
      </c>
      <c r="CX28" s="90">
        <f t="shared" si="36"/>
        <v>0.34169971296210266</v>
      </c>
      <c r="CY28" s="98">
        <f t="shared" si="36"/>
        <v>0.35628140142022685</v>
      </c>
      <c r="CZ28" s="97"/>
      <c r="DA28" s="780"/>
      <c r="DB28" s="750"/>
      <c r="DC28" s="750"/>
      <c r="DD28" s="778"/>
      <c r="DE28" s="788"/>
      <c r="DF28" s="793"/>
      <c r="DG28" s="750"/>
      <c r="DH28" s="750"/>
      <c r="DI28" s="779"/>
      <c r="DJ28" s="794"/>
      <c r="DK28" s="794"/>
      <c r="DL28" s="723"/>
      <c r="DM28" s="794"/>
      <c r="DN28" s="794"/>
      <c r="DU28" s="125"/>
      <c r="DV28" s="125"/>
      <c r="DW28" s="794"/>
      <c r="DX28" s="794"/>
      <c r="DY28" s="744"/>
      <c r="DZ28" s="813"/>
      <c r="EA28" s="813"/>
      <c r="EB28" s="865"/>
      <c r="EC28" s="665"/>
    </row>
    <row r="29" spans="1:171" x14ac:dyDescent="0.2">
      <c r="A29" s="127"/>
      <c r="B29" s="48" t="s">
        <v>59</v>
      </c>
      <c r="C29" s="127"/>
      <c r="D29" s="90"/>
      <c r="E29" s="90"/>
      <c r="F29" s="90"/>
      <c r="G29" s="90"/>
      <c r="H29" s="98"/>
      <c r="I29" s="90">
        <f t="shared" ref="I29:AN29" si="38">+I27/D27-1</f>
        <v>0.1155501421031262</v>
      </c>
      <c r="J29" s="90">
        <f t="shared" si="38"/>
        <v>9.7080919247082287E-2</v>
      </c>
      <c r="K29" s="90">
        <f t="shared" si="38"/>
        <v>6.2467375280357507E-2</v>
      </c>
      <c r="L29" s="90">
        <f t="shared" si="38"/>
        <v>0.23175534790331298</v>
      </c>
      <c r="M29" s="98">
        <f t="shared" si="38"/>
        <v>0.12121342235771504</v>
      </c>
      <c r="N29" s="90">
        <f t="shared" si="38"/>
        <v>0.27573963539897339</v>
      </c>
      <c r="O29" s="90">
        <f t="shared" si="38"/>
        <v>0.24421351863550234</v>
      </c>
      <c r="P29" s="90">
        <f t="shared" si="38"/>
        <v>0.30870689608629776</v>
      </c>
      <c r="Q29" s="90">
        <f t="shared" si="38"/>
        <v>2.131661442006294E-2</v>
      </c>
      <c r="R29" s="98">
        <f t="shared" si="38"/>
        <v>0.2127014520504229</v>
      </c>
      <c r="S29" s="90">
        <f t="shared" si="38"/>
        <v>4.4790312866517912E-2</v>
      </c>
      <c r="T29" s="90">
        <f t="shared" si="38"/>
        <v>0.20532699698922086</v>
      </c>
      <c r="U29" s="90">
        <f t="shared" si="38"/>
        <v>0.15057755775577442</v>
      </c>
      <c r="V29" s="90">
        <f t="shared" si="38"/>
        <v>-9.2081031307562622E-3</v>
      </c>
      <c r="W29" s="98">
        <f t="shared" si="38"/>
        <v>0.10868421052631527</v>
      </c>
      <c r="X29" s="90">
        <f t="shared" si="38"/>
        <v>-0.5006067961165046</v>
      </c>
      <c r="Y29" s="90">
        <f t="shared" si="38"/>
        <v>-0.47304128053917416</v>
      </c>
      <c r="Z29" s="90">
        <f t="shared" si="38"/>
        <v>-0.28146288992470403</v>
      </c>
      <c r="AA29" s="90">
        <f t="shared" si="38"/>
        <v>-0.15055762081784319</v>
      </c>
      <c r="AB29" s="98">
        <f t="shared" si="38"/>
        <v>-0.35331117968193682</v>
      </c>
      <c r="AC29" s="90">
        <f t="shared" si="38"/>
        <v>0.59538274605103259</v>
      </c>
      <c r="AD29" s="90">
        <f t="shared" si="38"/>
        <v>0.16786570743405216</v>
      </c>
      <c r="AE29" s="90">
        <f t="shared" si="38"/>
        <v>8.1836327345309545E-2</v>
      </c>
      <c r="AF29" s="90">
        <f t="shared" si="38"/>
        <v>-0.24288840262582034</v>
      </c>
      <c r="AG29" s="98">
        <f t="shared" si="38"/>
        <v>9.7449073224444627E-2</v>
      </c>
      <c r="AH29" s="90">
        <f t="shared" si="38"/>
        <v>-6.0929169840061359E-2</v>
      </c>
      <c r="AI29" s="90">
        <f t="shared" si="38"/>
        <v>0.14647501711156763</v>
      </c>
      <c r="AJ29" s="90">
        <f t="shared" si="38"/>
        <v>-0.12223247232472334</v>
      </c>
      <c r="AK29" s="90">
        <f t="shared" si="38"/>
        <v>-0.28227360308285143</v>
      </c>
      <c r="AL29" s="98">
        <f t="shared" si="38"/>
        <v>-7.0903010033444458E-2</v>
      </c>
      <c r="AM29" s="90">
        <f t="shared" si="38"/>
        <v>-0.16301703163017067</v>
      </c>
      <c r="AN29" s="90">
        <f t="shared" si="38"/>
        <v>-0.10149253731343311</v>
      </c>
      <c r="AO29" s="90">
        <f t="shared" ref="AO29:BJ29" si="39">+AO27/AJ27-1</f>
        <v>-7.3568050446662925E-2</v>
      </c>
      <c r="AP29" s="90">
        <f t="shared" si="39"/>
        <v>0.3919463087248316</v>
      </c>
      <c r="AQ29" s="98">
        <f t="shared" si="39"/>
        <v>-3.9416846652267745E-2</v>
      </c>
      <c r="AR29" s="90">
        <f t="shared" si="39"/>
        <v>0.11918604651162745</v>
      </c>
      <c r="AS29" s="90">
        <f t="shared" si="39"/>
        <v>-1.2624584717607634E-2</v>
      </c>
      <c r="AT29" s="97">
        <f t="shared" si="39"/>
        <v>-0.13329551900170145</v>
      </c>
      <c r="AU29" s="90">
        <f t="shared" si="39"/>
        <v>0.18707810993249763</v>
      </c>
      <c r="AV29" s="98">
        <f t="shared" si="39"/>
        <v>1.180438448566612E-2</v>
      </c>
      <c r="AW29" s="90">
        <f t="shared" si="39"/>
        <v>-5.1082251082250951E-2</v>
      </c>
      <c r="AX29" s="90">
        <f t="shared" si="39"/>
        <v>-5.3835800807537026E-2</v>
      </c>
      <c r="AY29" s="90">
        <f t="shared" si="39"/>
        <v>0.13154450261780037</v>
      </c>
      <c r="AZ29" s="90">
        <f t="shared" si="39"/>
        <v>8.5296506904955383E-2</v>
      </c>
      <c r="BA29" s="98">
        <f t="shared" si="39"/>
        <v>3.0925925925925801E-2</v>
      </c>
      <c r="BB29" s="90">
        <f t="shared" si="39"/>
        <v>-5.4744525547445244E-2</v>
      </c>
      <c r="BC29" s="90">
        <f t="shared" si="39"/>
        <v>1.5028449502133712</v>
      </c>
      <c r="BD29" s="90">
        <f t="shared" si="39"/>
        <v>1.1688837478311167</v>
      </c>
      <c r="BE29" s="90">
        <f t="shared" si="39"/>
        <v>1.5284431137724561</v>
      </c>
      <c r="BF29" s="98">
        <f>+BF27/BA27-1</f>
        <v>1.0986168492904622</v>
      </c>
      <c r="BG29" s="90">
        <f>+BG27/BB27-1</f>
        <v>2.905405405405407</v>
      </c>
      <c r="BH29" s="90">
        <f>+BH27/BC27-1</f>
        <v>0.17476555839727137</v>
      </c>
      <c r="BI29" s="90">
        <f>+BI27/BD27-1</f>
        <v>0.10746666666666682</v>
      </c>
      <c r="BJ29" s="90">
        <f t="shared" si="39"/>
        <v>3.5227945529899163E-2</v>
      </c>
      <c r="BK29" s="98">
        <f t="shared" ref="BK29:BP29" si="40">+BK27/BF27-1</f>
        <v>0.35496019857913197</v>
      </c>
      <c r="BL29" s="90">
        <f t="shared" si="40"/>
        <v>0.1225902125556102</v>
      </c>
      <c r="BM29" s="90">
        <f t="shared" si="40"/>
        <v>0.21165940977261832</v>
      </c>
      <c r="BN29" s="90">
        <f t="shared" si="40"/>
        <v>0.14567782326029355</v>
      </c>
      <c r="BO29" s="90">
        <f>+BO27/BJ27-1</f>
        <v>0.2430654847011724</v>
      </c>
      <c r="BP29" s="98">
        <f t="shared" si="40"/>
        <v>0.17852179406190771</v>
      </c>
      <c r="BQ29" s="90">
        <f>+BQ27/BL27-1</f>
        <v>0.20805812417437264</v>
      </c>
      <c r="BR29" s="90">
        <f t="shared" ref="BR29:CY29" si="41">+BR27/BM27-1</f>
        <v>0.23817129167498452</v>
      </c>
      <c r="BS29" s="90">
        <f>+BS27/BN27-1</f>
        <v>0.1172761664564943</v>
      </c>
      <c r="BT29" s="90">
        <f>+BT27/BO27-1</f>
        <v>0.13825626869105134</v>
      </c>
      <c r="BU29" s="98">
        <f t="shared" si="41"/>
        <v>0.17672598627787317</v>
      </c>
      <c r="BV29" s="90">
        <f>+BV27/BQ27-1</f>
        <v>0.21888099143429929</v>
      </c>
      <c r="BW29" s="90">
        <f>+BW27/BR27-1</f>
        <v>0.14446952595936824</v>
      </c>
      <c r="BX29" s="90">
        <f>+BX27/BS27-1</f>
        <v>3.4800601956358035E-2</v>
      </c>
      <c r="BY29" s="90">
        <f t="shared" si="41"/>
        <v>0.10044462409054189</v>
      </c>
      <c r="BZ29" s="98">
        <f t="shared" si="41"/>
        <v>0.12658862114517389</v>
      </c>
      <c r="CA29" s="90">
        <f t="shared" si="41"/>
        <v>5.1500956220843497E-2</v>
      </c>
      <c r="CB29" s="90">
        <f t="shared" si="41"/>
        <v>0.10364580085657926</v>
      </c>
      <c r="CC29" s="90">
        <f t="shared" si="41"/>
        <v>0.14765221693464858</v>
      </c>
      <c r="CD29" s="90">
        <f t="shared" si="41"/>
        <v>0.10632363984297499</v>
      </c>
      <c r="CE29" s="98">
        <f t="shared" si="41"/>
        <v>9.9922503395903695E-2</v>
      </c>
      <c r="CF29" s="90">
        <f t="shared" si="41"/>
        <v>9.8089635582476964E-2</v>
      </c>
      <c r="CG29" s="90">
        <f t="shared" si="41"/>
        <v>9.7377652368787482E-2</v>
      </c>
      <c r="CH29" s="90">
        <f t="shared" si="41"/>
        <v>9.3449504425052066E-2</v>
      </c>
      <c r="CI29" s="90">
        <f t="shared" si="41"/>
        <v>9.3549749378352809E-2</v>
      </c>
      <c r="CJ29" s="98">
        <f t="shared" si="41"/>
        <v>9.5802424482327231E-2</v>
      </c>
      <c r="CK29" s="90">
        <f t="shared" si="41"/>
        <v>7.1678015261815498E-2</v>
      </c>
      <c r="CL29" s="90">
        <f t="shared" si="41"/>
        <v>7.1304077212913652E-2</v>
      </c>
      <c r="CM29" s="90">
        <f t="shared" si="41"/>
        <v>6.8692509256016221E-2</v>
      </c>
      <c r="CN29" s="90">
        <f t="shared" si="41"/>
        <v>6.8770367495453844E-2</v>
      </c>
      <c r="CO29" s="98">
        <f t="shared" si="41"/>
        <v>7.0236251190299859E-2</v>
      </c>
      <c r="CP29" s="90">
        <f t="shared" si="41"/>
        <v>6.5251810652613429E-2</v>
      </c>
      <c r="CQ29" s="90">
        <f t="shared" si="41"/>
        <v>6.4907280096985209E-2</v>
      </c>
      <c r="CR29" s="90">
        <f t="shared" si="41"/>
        <v>6.2882784295263727E-2</v>
      </c>
      <c r="CS29" s="90">
        <f t="shared" si="41"/>
        <v>6.2938062476745271E-2</v>
      </c>
      <c r="CT29" s="98">
        <f t="shared" si="41"/>
        <v>6.4093926343209651E-2</v>
      </c>
      <c r="CU29" s="90">
        <f t="shared" si="41"/>
        <v>5.7422415331072285E-2</v>
      </c>
      <c r="CV29" s="90">
        <f t="shared" si="41"/>
        <v>5.7170270577999283E-2</v>
      </c>
      <c r="CW29" s="90">
        <f t="shared" si="41"/>
        <v>5.5451349690695206E-2</v>
      </c>
      <c r="CX29" s="90">
        <f t="shared" si="41"/>
        <v>5.5502085009507596E-2</v>
      </c>
      <c r="CY29" s="98">
        <f t="shared" si="41"/>
        <v>5.6470970278415411E-2</v>
      </c>
      <c r="CZ29" s="97"/>
      <c r="DA29" s="795"/>
      <c r="DB29" s="750"/>
      <c r="DC29" s="750"/>
      <c r="DD29" s="490"/>
      <c r="DE29" s="717"/>
      <c r="DF29" s="490"/>
      <c r="DG29" s="750"/>
      <c r="DH29" s="750"/>
      <c r="DI29" s="718"/>
      <c r="DJ29" s="718"/>
      <c r="DU29" s="128"/>
      <c r="DV29" s="128"/>
      <c r="DW29" s="718"/>
      <c r="DX29" s="718"/>
      <c r="DY29" s="718"/>
      <c r="DZ29" s="718"/>
      <c r="EA29" s="718"/>
    </row>
    <row r="30" spans="1:171" x14ac:dyDescent="0.2">
      <c r="A30" s="127"/>
      <c r="B30" s="48" t="s">
        <v>69</v>
      </c>
      <c r="C30" s="127"/>
      <c r="D30" s="90"/>
      <c r="E30" s="90"/>
      <c r="F30" s="90"/>
      <c r="G30" s="90"/>
      <c r="H30" s="116"/>
      <c r="I30" s="117">
        <f t="shared" ref="I30:AN30" si="42">+(I28-D28)*10000</f>
        <v>-100.84888695221589</v>
      </c>
      <c r="J30" s="117">
        <f t="shared" si="42"/>
        <v>-57.168915358229711</v>
      </c>
      <c r="K30" s="117">
        <f t="shared" si="42"/>
        <v>-59.839778976527867</v>
      </c>
      <c r="L30" s="117">
        <f t="shared" si="42"/>
        <v>52.325528705923773</v>
      </c>
      <c r="M30" s="116">
        <f t="shared" si="42"/>
        <v>-44.344305773432737</v>
      </c>
      <c r="N30" s="117">
        <f t="shared" si="42"/>
        <v>105.13806372996537</v>
      </c>
      <c r="O30" s="117">
        <f t="shared" si="42"/>
        <v>125.79177954207127</v>
      </c>
      <c r="P30" s="117">
        <f t="shared" si="42"/>
        <v>207.04169538380722</v>
      </c>
      <c r="Q30" s="117">
        <f t="shared" si="42"/>
        <v>17.456404991657294</v>
      </c>
      <c r="R30" s="116">
        <f t="shared" si="42"/>
        <v>117.75853248242957</v>
      </c>
      <c r="S30" s="117">
        <f t="shared" si="42"/>
        <v>-12.756906368485144</v>
      </c>
      <c r="T30" s="117">
        <f t="shared" si="42"/>
        <v>22.382101601380878</v>
      </c>
      <c r="U30" s="117">
        <f t="shared" si="42"/>
        <v>-54.687535495236972</v>
      </c>
      <c r="V30" s="117">
        <f t="shared" si="42"/>
        <v>-141.47513577822428</v>
      </c>
      <c r="W30" s="116">
        <f t="shared" si="42"/>
        <v>-35.627541471394409</v>
      </c>
      <c r="X30" s="117">
        <f t="shared" si="42"/>
        <v>-512.50206057983735</v>
      </c>
      <c r="Y30" s="117">
        <f t="shared" si="42"/>
        <v>-273.25590263823085</v>
      </c>
      <c r="Z30" s="117">
        <f t="shared" si="42"/>
        <v>-27.870898521640541</v>
      </c>
      <c r="AA30" s="117">
        <f t="shared" si="42"/>
        <v>137.14101687167636</v>
      </c>
      <c r="AB30" s="116">
        <f t="shared" si="42"/>
        <v>-171.08138610652662</v>
      </c>
      <c r="AC30" s="117">
        <f t="shared" si="42"/>
        <v>495.87385667932512</v>
      </c>
      <c r="AD30" s="117">
        <f t="shared" si="42"/>
        <v>125.92016673305784</v>
      </c>
      <c r="AE30" s="117">
        <f t="shared" si="42"/>
        <v>271.933646126849</v>
      </c>
      <c r="AF30" s="117">
        <f t="shared" si="42"/>
        <v>-138.15074588103687</v>
      </c>
      <c r="AG30" s="116">
        <f t="shared" si="42"/>
        <v>192.08513328978771</v>
      </c>
      <c r="AH30" s="117">
        <f t="shared" si="42"/>
        <v>148.50418555597849</v>
      </c>
      <c r="AI30" s="117">
        <f t="shared" si="42"/>
        <v>382.91203387502361</v>
      </c>
      <c r="AJ30" s="117">
        <f t="shared" si="42"/>
        <v>-175.7065748897632</v>
      </c>
      <c r="AK30" s="117">
        <f t="shared" si="42"/>
        <v>-360.83223727519527</v>
      </c>
      <c r="AL30" s="116">
        <f t="shared" si="42"/>
        <v>14.918567833102081</v>
      </c>
      <c r="AM30" s="117">
        <f t="shared" si="42"/>
        <v>-247.12866045862592</v>
      </c>
      <c r="AN30" s="117">
        <f t="shared" si="42"/>
        <v>-166.03502346798277</v>
      </c>
      <c r="AO30" s="117">
        <f t="shared" ref="AO30:BJ30" si="43">+(AO28-AJ28)*10000</f>
        <v>-102.40203258355895</v>
      </c>
      <c r="AP30" s="117">
        <f t="shared" si="43"/>
        <v>398.52082259925743</v>
      </c>
      <c r="AQ30" s="116">
        <f t="shared" si="43"/>
        <v>-49.471857216495387</v>
      </c>
      <c r="AR30" s="117">
        <f t="shared" si="43"/>
        <v>507.56253138749543</v>
      </c>
      <c r="AS30" s="117">
        <f t="shared" si="43"/>
        <v>408.67831473868188</v>
      </c>
      <c r="AT30" s="118">
        <f t="shared" si="43"/>
        <v>356.38010877485834</v>
      </c>
      <c r="AU30" s="117">
        <f t="shared" si="43"/>
        <v>510.13763290071705</v>
      </c>
      <c r="AV30" s="116">
        <f t="shared" si="43"/>
        <v>432.69399460043934</v>
      </c>
      <c r="AW30" s="117">
        <f t="shared" si="43"/>
        <v>-91.510681536023924</v>
      </c>
      <c r="AX30" s="117">
        <f t="shared" si="43"/>
        <v>-140.11437764452407</v>
      </c>
      <c r="AY30" s="117">
        <f t="shared" si="43"/>
        <v>73.85476323501311</v>
      </c>
      <c r="AZ30" s="117">
        <f t="shared" si="43"/>
        <v>-40.062934632554004</v>
      </c>
      <c r="BA30" s="116">
        <f t="shared" si="43"/>
        <v>-43.447244078049785</v>
      </c>
      <c r="BB30" s="117">
        <f t="shared" si="43"/>
        <v>-188.06650186612373</v>
      </c>
      <c r="BC30" s="117">
        <f t="shared" si="43"/>
        <v>397.71943931288382</v>
      </c>
      <c r="BD30" s="117">
        <f t="shared" si="43"/>
        <v>343.681200222499</v>
      </c>
      <c r="BE30" s="117">
        <f t="shared" si="43"/>
        <v>696.35493819081682</v>
      </c>
      <c r="BF30" s="116">
        <f t="shared" si="43"/>
        <v>409.11937983180047</v>
      </c>
      <c r="BG30" s="117">
        <f>+(BG28-BB28)*10000</f>
        <v>1112.9146083274532</v>
      </c>
      <c r="BH30" s="117">
        <f>+(BH28-BC28)*10000</f>
        <v>160.9310154080068</v>
      </c>
      <c r="BI30" s="117">
        <f>+(BI28-BD28)*10000</f>
        <v>95.916665189037516</v>
      </c>
      <c r="BJ30" s="117">
        <f t="shared" si="43"/>
        <v>-31.35320491490068</v>
      </c>
      <c r="BK30" s="116">
        <f t="shared" ref="BK30:BP30" si="44">+(BK28-BF28)*10000</f>
        <v>225.97147462808138</v>
      </c>
      <c r="BL30" s="117">
        <f t="shared" si="44"/>
        <v>132.90632731141895</v>
      </c>
      <c r="BM30" s="117">
        <f t="shared" si="44"/>
        <v>318.16134236956395</v>
      </c>
      <c r="BN30" s="117">
        <f t="shared" si="44"/>
        <v>206.20616860183239</v>
      </c>
      <c r="BO30" s="117">
        <f>+(BO28-BJ28)*10000</f>
        <v>232.05622919120705</v>
      </c>
      <c r="BP30" s="116">
        <f t="shared" si="44"/>
        <v>222.86189787182943</v>
      </c>
      <c r="BQ30" s="117">
        <f>+(BQ28-BL28)*10000</f>
        <v>147.12045356280123</v>
      </c>
      <c r="BR30" s="117">
        <f t="shared" ref="BR30:CY30" si="45">+(BR28-BM28)*10000</f>
        <v>178.77762362547566</v>
      </c>
      <c r="BS30" s="117">
        <f>+(BS28-BN28)*10000</f>
        <v>35.870204463600011</v>
      </c>
      <c r="BT30" s="117">
        <f>+(BT28-BO28)*10000</f>
        <v>222.43801131826058</v>
      </c>
      <c r="BU30" s="116">
        <f t="shared" si="45"/>
        <v>145.39929483178781</v>
      </c>
      <c r="BV30" s="117">
        <f>+(BV28-BQ28)*10000</f>
        <v>524.0349436878605</v>
      </c>
      <c r="BW30" s="117">
        <f>+(BW28-BR28)*10000</f>
        <v>336.65895169158523</v>
      </c>
      <c r="BX30" s="117">
        <f>+(BX28-BS28)*10000</f>
        <v>121.43446297391446</v>
      </c>
      <c r="BY30" s="117">
        <f t="shared" si="45"/>
        <v>44.10151751450875</v>
      </c>
      <c r="BZ30" s="116">
        <f t="shared" si="45"/>
        <v>266.30651790112427</v>
      </c>
      <c r="CA30" s="117">
        <f t="shared" si="45"/>
        <v>-59.124679321000961</v>
      </c>
      <c r="CB30" s="117">
        <f t="shared" si="45"/>
        <v>65.315295097745363</v>
      </c>
      <c r="CC30" s="117">
        <f t="shared" si="45"/>
        <v>139.52246883254193</v>
      </c>
      <c r="CD30" s="117">
        <f t="shared" si="45"/>
        <v>96.126039353202074</v>
      </c>
      <c r="CE30" s="116">
        <f t="shared" si="45"/>
        <v>58.004725783951102</v>
      </c>
      <c r="CF30" s="117">
        <f t="shared" si="45"/>
        <v>100.32830518228897</v>
      </c>
      <c r="CG30" s="117">
        <f t="shared" si="45"/>
        <v>100.79646235869211</v>
      </c>
      <c r="CH30" s="117">
        <f t="shared" si="45"/>
        <v>93.86686128171506</v>
      </c>
      <c r="CI30" s="117">
        <f t="shared" si="45"/>
        <v>95.066065572258495</v>
      </c>
      <c r="CJ30" s="116">
        <f t="shared" si="45"/>
        <v>97.946941503631038</v>
      </c>
      <c r="CK30" s="117">
        <f t="shared" si="45"/>
        <v>56.224063128867407</v>
      </c>
      <c r="CL30" s="117">
        <f t="shared" si="45"/>
        <v>56.556289985391082</v>
      </c>
      <c r="CM30" s="117">
        <f t="shared" si="45"/>
        <v>52.575597621234429</v>
      </c>
      <c r="CN30" s="117">
        <f t="shared" si="45"/>
        <v>53.512450687522303</v>
      </c>
      <c r="CO30" s="116">
        <f t="shared" si="45"/>
        <v>54.989467328244722</v>
      </c>
      <c r="CP30" s="117">
        <f t="shared" si="45"/>
        <v>52.497939481507274</v>
      </c>
      <c r="CQ30" s="117">
        <f t="shared" si="45"/>
        <v>52.731605030744703</v>
      </c>
      <c r="CR30" s="117">
        <f t="shared" si="45"/>
        <v>49.013782880000804</v>
      </c>
      <c r="CS30" s="117">
        <f t="shared" si="45"/>
        <v>49.727249911727391</v>
      </c>
      <c r="CT30" s="116">
        <f t="shared" si="45"/>
        <v>51.228223430592749</v>
      </c>
      <c r="CU30" s="117">
        <f t="shared" si="45"/>
        <v>40.6932648028735</v>
      </c>
      <c r="CV30" s="117">
        <f t="shared" si="45"/>
        <v>40.944064789572025</v>
      </c>
      <c r="CW30" s="117">
        <f t="shared" si="45"/>
        <v>38.452395352542304</v>
      </c>
      <c r="CX30" s="117">
        <f t="shared" si="45"/>
        <v>39.151767269767767</v>
      </c>
      <c r="CY30" s="116">
        <f t="shared" si="45"/>
        <v>39.998644290324407</v>
      </c>
      <c r="CZ30" s="118"/>
      <c r="DA30" s="490"/>
      <c r="DB30" s="781"/>
      <c r="DC30" s="781"/>
      <c r="DD30" s="490"/>
      <c r="DE30" s="717"/>
      <c r="DF30" s="490"/>
      <c r="DG30" s="781"/>
      <c r="DH30" s="781"/>
      <c r="DI30" s="718"/>
      <c r="DJ30" s="718"/>
      <c r="DU30" s="128"/>
      <c r="DV30" s="128"/>
      <c r="DW30" s="718"/>
      <c r="DX30" s="718"/>
      <c r="DY30" s="718"/>
      <c r="DZ30" s="718"/>
    </row>
    <row r="31" spans="1:171" ht="6" customHeight="1" x14ac:dyDescent="0.2">
      <c r="A31" s="48"/>
      <c r="B31" s="48"/>
      <c r="C31" s="48"/>
      <c r="D31" s="119"/>
      <c r="E31" s="119"/>
      <c r="F31" s="119"/>
      <c r="G31" s="56"/>
      <c r="H31" s="101"/>
      <c r="I31" s="119"/>
      <c r="J31" s="56"/>
      <c r="K31" s="56"/>
      <c r="L31" s="56"/>
      <c r="M31" s="101"/>
      <c r="N31" s="119"/>
      <c r="O31" s="56"/>
      <c r="P31" s="56"/>
      <c r="Q31" s="56"/>
      <c r="R31" s="101"/>
      <c r="S31" s="119"/>
      <c r="T31" s="56"/>
      <c r="U31" s="56"/>
      <c r="V31" s="56"/>
      <c r="W31" s="101"/>
      <c r="X31" s="119"/>
      <c r="Y31" s="56"/>
      <c r="Z31" s="56"/>
      <c r="AA31" s="56"/>
      <c r="AB31" s="101"/>
      <c r="AC31" s="119"/>
      <c r="AD31" s="56"/>
      <c r="AE31" s="56"/>
      <c r="AF31" s="56"/>
      <c r="AG31" s="101"/>
      <c r="AH31" s="119"/>
      <c r="AI31" s="119"/>
      <c r="AJ31" s="56"/>
      <c r="AK31" s="56"/>
      <c r="AL31" s="101"/>
      <c r="AM31" s="56"/>
      <c r="AN31" s="56"/>
      <c r="AO31" s="56"/>
      <c r="AP31" s="56"/>
      <c r="AQ31" s="101"/>
      <c r="AR31" s="56"/>
      <c r="AS31" s="56"/>
      <c r="AT31" s="103"/>
      <c r="AU31" s="56"/>
      <c r="AV31" s="101"/>
      <c r="AW31" s="56"/>
      <c r="AX31" s="56"/>
      <c r="AY31" s="56"/>
      <c r="AZ31" s="56"/>
      <c r="BA31" s="101"/>
      <c r="BB31" s="56"/>
      <c r="BC31" s="56"/>
      <c r="BD31" s="56"/>
      <c r="BE31" s="56"/>
      <c r="BF31" s="101"/>
      <c r="BG31" s="56"/>
      <c r="BH31" s="56"/>
      <c r="BI31" s="56"/>
      <c r="BJ31" s="56"/>
      <c r="BK31" s="101"/>
      <c r="BL31" s="56"/>
      <c r="BM31" s="56"/>
      <c r="BN31" s="56"/>
      <c r="BO31" s="56"/>
      <c r="BP31" s="101"/>
      <c r="BQ31" s="56"/>
      <c r="BR31" s="56"/>
      <c r="BS31" s="56"/>
      <c r="BT31" s="56"/>
      <c r="BU31" s="101"/>
      <c r="BV31" s="56"/>
      <c r="BW31" s="56"/>
      <c r="BX31" s="56"/>
      <c r="BY31" s="56"/>
      <c r="BZ31" s="101"/>
      <c r="CA31" s="56"/>
      <c r="CB31" s="56"/>
      <c r="CC31" s="56"/>
      <c r="CD31" s="56"/>
      <c r="CE31" s="101"/>
      <c r="CF31" s="56"/>
      <c r="CG31" s="56"/>
      <c r="CH31" s="56"/>
      <c r="CI31" s="56"/>
      <c r="CJ31" s="101"/>
      <c r="CK31" s="56"/>
      <c r="CL31" s="56"/>
      <c r="CM31" s="56"/>
      <c r="CN31" s="56"/>
      <c r="CO31" s="101"/>
      <c r="CP31" s="56"/>
      <c r="CQ31" s="56"/>
      <c r="CR31" s="56"/>
      <c r="CS31" s="56"/>
      <c r="CT31" s="101"/>
      <c r="CU31" s="56"/>
      <c r="CV31" s="56"/>
      <c r="CW31" s="56"/>
      <c r="CX31" s="56"/>
      <c r="CY31" s="101"/>
      <c r="CZ31" s="103"/>
      <c r="DB31" s="9"/>
      <c r="DC31" s="9"/>
      <c r="DG31" s="9"/>
      <c r="DH31" s="9"/>
      <c r="DI31" s="730"/>
      <c r="DJ31" s="730"/>
      <c r="DU31" s="48"/>
      <c r="DV31" s="48"/>
      <c r="DW31" s="730"/>
      <c r="DX31" s="730"/>
      <c r="DY31" s="730"/>
      <c r="DZ31" s="730"/>
    </row>
    <row r="32" spans="1:171" x14ac:dyDescent="0.2">
      <c r="A32" s="78" t="s">
        <v>70</v>
      </c>
      <c r="B32" s="78"/>
      <c r="C32" s="78"/>
      <c r="D32" s="84">
        <v>0.32800000000000007</v>
      </c>
      <c r="E32" s="84">
        <v>0.51100000000000001</v>
      </c>
      <c r="F32" s="84">
        <v>0.126</v>
      </c>
      <c r="G32" s="84">
        <v>-0.42299999999999999</v>
      </c>
      <c r="H32" s="85">
        <v>0.54200000000000004</v>
      </c>
      <c r="I32" s="84">
        <v>6.2E-2</v>
      </c>
      <c r="J32" s="84">
        <v>0.2</v>
      </c>
      <c r="K32" s="84">
        <v>0.35899999999999999</v>
      </c>
      <c r="L32" s="84">
        <v>1.1000000000000001</v>
      </c>
      <c r="M32" s="85">
        <v>1.75</v>
      </c>
      <c r="N32" s="84">
        <v>0.3</v>
      </c>
      <c r="O32" s="84">
        <v>0.8</v>
      </c>
      <c r="P32" s="84">
        <v>9.4</v>
      </c>
      <c r="Q32" s="84">
        <v>0</v>
      </c>
      <c r="R32" s="85">
        <v>10.5</v>
      </c>
      <c r="S32" s="84">
        <v>0.6</v>
      </c>
      <c r="T32" s="84">
        <v>0.6</v>
      </c>
      <c r="U32" s="84">
        <v>12.2</v>
      </c>
      <c r="V32" s="84">
        <v>39.299999999999997</v>
      </c>
      <c r="W32" s="85">
        <v>52.7</v>
      </c>
      <c r="X32" s="84">
        <v>76</v>
      </c>
      <c r="Y32" s="84">
        <v>80.099999999999994</v>
      </c>
      <c r="Z32" s="84">
        <v>74.900000000000006</v>
      </c>
      <c r="AA32" s="84">
        <v>42.9</v>
      </c>
      <c r="AB32" s="85">
        <v>273.89999999999998</v>
      </c>
      <c r="AC32" s="84">
        <v>72.099999999999994</v>
      </c>
      <c r="AD32" s="84">
        <v>74.2</v>
      </c>
      <c r="AE32" s="84">
        <f>+AG32-AF32-AC32-AD32</f>
        <v>76.299999999999969</v>
      </c>
      <c r="AF32" s="84">
        <v>47.3</v>
      </c>
      <c r="AG32" s="85">
        <v>269.89999999999998</v>
      </c>
      <c r="AH32" s="84">
        <v>62.8</v>
      </c>
      <c r="AI32" s="84">
        <v>73.2</v>
      </c>
      <c r="AJ32" s="129">
        <v>60</v>
      </c>
      <c r="AK32" s="84">
        <v>43</v>
      </c>
      <c r="AL32" s="85">
        <f>+AH32+AI32+AJ32+AK32</f>
        <v>239</v>
      </c>
      <c r="AM32" s="84">
        <v>55</v>
      </c>
      <c r="AN32" s="84">
        <v>66.5</v>
      </c>
      <c r="AO32" s="84">
        <v>71.400000000000006</v>
      </c>
      <c r="AP32" s="84">
        <v>51.5</v>
      </c>
      <c r="AQ32" s="85">
        <f>+AM32+AN32+AO32+AP32</f>
        <v>244.4</v>
      </c>
      <c r="AR32" s="84">
        <f>+AR34+AR35</f>
        <v>62.2</v>
      </c>
      <c r="AS32" s="84">
        <f>+AS34+AS35</f>
        <v>64</v>
      </c>
      <c r="AT32" s="86">
        <f>+AT34+AT35</f>
        <v>53.3</v>
      </c>
      <c r="AU32" s="84">
        <f>+AU34+AU35</f>
        <v>49</v>
      </c>
      <c r="AV32" s="85">
        <f>+AR32+AS32+AT32+AU32</f>
        <v>228.5</v>
      </c>
      <c r="AW32" s="84">
        <f>+AW34+AW35</f>
        <v>60.6</v>
      </c>
      <c r="AX32" s="84">
        <f>+AX34+AX35</f>
        <v>70.5</v>
      </c>
      <c r="AY32" s="84">
        <f>+AY34+AY35</f>
        <v>52.7</v>
      </c>
      <c r="AZ32" s="84">
        <f>+AZ34+AZ35</f>
        <v>50.3</v>
      </c>
      <c r="BA32" s="85">
        <f>+AW32+AX32+AY32+AZ32</f>
        <v>234.10000000000002</v>
      </c>
      <c r="BB32" s="84">
        <f>+BB34+BB35</f>
        <v>66.699999999999989</v>
      </c>
      <c r="BC32" s="84">
        <f>+BC34+BC35</f>
        <v>3.7</v>
      </c>
      <c r="BD32" s="84">
        <f>+BD34+BD35</f>
        <v>18</v>
      </c>
      <c r="BE32" s="84">
        <f>+BE34+BE35</f>
        <v>-0.5</v>
      </c>
      <c r="BF32" s="85">
        <f>+BB32+BC32+BD32+BE32</f>
        <v>87.899999999999991</v>
      </c>
      <c r="BG32" s="84">
        <f>+BG34+BG35</f>
        <v>0.5</v>
      </c>
      <c r="BH32" s="84">
        <f>+BH34+BH35</f>
        <v>-0.6</v>
      </c>
      <c r="BI32" s="84">
        <f>+BI34+BI35</f>
        <v>21.2</v>
      </c>
      <c r="BJ32" s="84">
        <f>+BJ34+BJ35</f>
        <v>0.4</v>
      </c>
      <c r="BK32" s="85">
        <f>+BG32+BH32+BI32+BJ32</f>
        <v>21.499999999999996</v>
      </c>
      <c r="BL32" s="84">
        <f>+BL34+BL35</f>
        <v>1</v>
      </c>
      <c r="BM32" s="84">
        <f>+BM34+BM35</f>
        <v>0.2</v>
      </c>
      <c r="BN32" s="84">
        <f>+BN34+BN35</f>
        <v>27.3</v>
      </c>
      <c r="BO32" s="84">
        <f>+BO34+BO35</f>
        <v>-1.8999999999999986</v>
      </c>
      <c r="BP32" s="85">
        <f>+BL32+BM32+BN32+BO32</f>
        <v>26.6</v>
      </c>
      <c r="BQ32" s="84">
        <f>+BQ34+BQ35</f>
        <v>0.7</v>
      </c>
      <c r="BR32" s="84">
        <f>+BR34+BR35</f>
        <v>0</v>
      </c>
      <c r="BS32" s="84">
        <f>+BS34+BS35</f>
        <v>27.5</v>
      </c>
      <c r="BT32" s="84">
        <f>+BT34+BT35</f>
        <v>0.79999999999999993</v>
      </c>
      <c r="BU32" s="85">
        <f>+BQ32+BR32+BS32+BT32</f>
        <v>29</v>
      </c>
      <c r="BV32" s="84">
        <f>+BV34+BV35</f>
        <v>0.4</v>
      </c>
      <c r="BW32" s="84">
        <f>+BW34+BW35</f>
        <v>0.2</v>
      </c>
      <c r="BX32" s="84">
        <f>+BX34+BX35</f>
        <v>32.199999999999989</v>
      </c>
      <c r="BY32" s="84">
        <f>+BY34+BY35</f>
        <v>1.8000000000000114</v>
      </c>
      <c r="BZ32" s="85">
        <f>+BV32+BW32+BX32+BY32</f>
        <v>34.6</v>
      </c>
      <c r="CA32" s="84">
        <f>+CA34+CA35</f>
        <v>0.43</v>
      </c>
      <c r="CB32" s="84">
        <f>+CB34+CB35</f>
        <v>0.215</v>
      </c>
      <c r="CC32" s="84">
        <f>+CC34+CC35</f>
        <v>34.614999999999988</v>
      </c>
      <c r="CD32" s="84">
        <f>+CD34+CD35</f>
        <v>1.935000000000012</v>
      </c>
      <c r="CE32" s="85">
        <f>+CA32+CB32+CC32+CD32</f>
        <v>37.195</v>
      </c>
      <c r="CF32" s="84">
        <f>+CF34+CF35</f>
        <v>0.46224999999999999</v>
      </c>
      <c r="CG32" s="84">
        <f>+CG34+CG35</f>
        <v>0.231125</v>
      </c>
      <c r="CH32" s="84">
        <f>+CH34+CH35</f>
        <v>37.211124999999988</v>
      </c>
      <c r="CI32" s="84">
        <f>+CI34+CI35</f>
        <v>2.0801250000000167</v>
      </c>
      <c r="CJ32" s="85">
        <f>+CF32+CG32+CH32+CI32</f>
        <v>39.984625000000008</v>
      </c>
      <c r="CK32" s="84">
        <f>+CK34+CK35</f>
        <v>0.47380624999999993</v>
      </c>
      <c r="CL32" s="84">
        <f>+CL34+CL35</f>
        <v>0.23690312499999996</v>
      </c>
      <c r="CM32" s="84">
        <f>+CM34+CM35</f>
        <v>38.141403124999989</v>
      </c>
      <c r="CN32" s="84">
        <f>+CN34+CN35</f>
        <v>2.1321281250000084</v>
      </c>
      <c r="CO32" s="85">
        <f>+CK32+CL32+CM32+CN32</f>
        <v>40.984240624999998</v>
      </c>
      <c r="CP32" s="84">
        <f>+CP34+CP35</f>
        <v>0.48565140624999992</v>
      </c>
      <c r="CQ32" s="84">
        <f>+CQ34+CQ35</f>
        <v>0.24282570312499996</v>
      </c>
      <c r="CR32" s="84">
        <f>+CR34+CR35</f>
        <v>39.09493820312499</v>
      </c>
      <c r="CS32" s="84">
        <f>+CS34+CS35</f>
        <v>2.1854313281250057</v>
      </c>
      <c r="CT32" s="85">
        <f>+CP32+CQ32+CR32+CS32</f>
        <v>42.008846640624995</v>
      </c>
      <c r="CU32" s="84">
        <f>+CU34+CU35</f>
        <v>0.49779269140624982</v>
      </c>
      <c r="CV32" s="84">
        <f>+CV34+CV35</f>
        <v>0.24889634570312491</v>
      </c>
      <c r="CW32" s="84">
        <f>+CW34+CW35</f>
        <v>40.072311658203105</v>
      </c>
      <c r="CX32" s="84">
        <f>+CX34+CX35</f>
        <v>2.2400671113281376</v>
      </c>
      <c r="CY32" s="85">
        <f>+CU32+CV32+CW32+CX32</f>
        <v>43.05906780664062</v>
      </c>
      <c r="CZ32" s="86"/>
      <c r="DA32" s="796"/>
      <c r="DB32" s="738"/>
      <c r="DC32" s="738"/>
      <c r="DD32" s="748"/>
      <c r="DE32" s="740"/>
      <c r="DF32" s="7"/>
      <c r="DG32" s="738"/>
      <c r="DH32" s="738"/>
      <c r="DI32" s="773"/>
      <c r="DJ32" s="733"/>
      <c r="DU32" s="78"/>
      <c r="DV32" s="89"/>
      <c r="DW32" s="739"/>
      <c r="DX32" s="739"/>
      <c r="DY32" s="739"/>
      <c r="DZ32" s="739"/>
      <c r="EA32" s="850"/>
      <c r="EB32" s="866"/>
      <c r="EC32" s="867"/>
      <c r="EE32" s="866"/>
    </row>
    <row r="33" spans="1:140" x14ac:dyDescent="0.2">
      <c r="A33" s="127"/>
      <c r="B33" s="48" t="s">
        <v>59</v>
      </c>
      <c r="C33" s="127"/>
      <c r="D33" s="90"/>
      <c r="E33" s="90"/>
      <c r="F33" s="90"/>
      <c r="G33" s="90"/>
      <c r="H33" s="98"/>
      <c r="I33" s="90" t="s">
        <v>71</v>
      </c>
      <c r="J33" s="90" t="s">
        <v>71</v>
      </c>
      <c r="K33" s="90" t="s">
        <v>71</v>
      </c>
      <c r="L33" s="90" t="s">
        <v>71</v>
      </c>
      <c r="M33" s="98" t="s">
        <v>71</v>
      </c>
      <c r="N33" s="90" t="s">
        <v>71</v>
      </c>
      <c r="O33" s="90" t="s">
        <v>71</v>
      </c>
      <c r="P33" s="90" t="s">
        <v>71</v>
      </c>
      <c r="Q33" s="90" t="s">
        <v>71</v>
      </c>
      <c r="R33" s="98" t="s">
        <v>71</v>
      </c>
      <c r="S33" s="90" t="s">
        <v>71</v>
      </c>
      <c r="T33" s="90" t="s">
        <v>71</v>
      </c>
      <c r="U33" s="90" t="s">
        <v>71</v>
      </c>
      <c r="V33" s="90" t="s">
        <v>71</v>
      </c>
      <c r="W33" s="98" t="s">
        <v>71</v>
      </c>
      <c r="X33" s="90" t="s">
        <v>71</v>
      </c>
      <c r="Y33" s="90" t="s">
        <v>71</v>
      </c>
      <c r="Z33" s="90" t="s">
        <v>71</v>
      </c>
      <c r="AA33" s="90">
        <f>+AA32/V32-1</f>
        <v>9.1603053435114656E-2</v>
      </c>
      <c r="AB33" s="98" t="s">
        <v>71</v>
      </c>
      <c r="AC33" s="90">
        <f>+AC32/X32-1</f>
        <v>-5.1315789473684315E-2</v>
      </c>
      <c r="AD33" s="90">
        <f>+AD32/Y32-1</f>
        <v>-7.3657927590511707E-2</v>
      </c>
      <c r="AE33" s="90">
        <f>+AE32/Z32-1</f>
        <v>1.8691588785046287E-2</v>
      </c>
      <c r="AF33" s="90">
        <f>+AF32/AA32-1</f>
        <v>0.10256410256410264</v>
      </c>
      <c r="AG33" s="98">
        <f>AG32/AB32-1</f>
        <v>-1.4603870025556742E-2</v>
      </c>
      <c r="AH33" s="90">
        <f>+AH32/AC32-1</f>
        <v>-0.12898751733703184</v>
      </c>
      <c r="AI33" s="90">
        <f>+AI32/AD32-1</f>
        <v>-1.3477088948787075E-2</v>
      </c>
      <c r="AJ33" s="130">
        <f>+AJ32/AE32-1</f>
        <v>-0.21363040629095642</v>
      </c>
      <c r="AK33" s="90">
        <f>+AK32/AF32-1</f>
        <v>-9.0909090909090828E-2</v>
      </c>
      <c r="AL33" s="98">
        <f>AL32/AG32-1</f>
        <v>-0.11448684698036304</v>
      </c>
      <c r="AM33" s="90">
        <f>+AM32/AH32-1</f>
        <v>-0.12420382165605093</v>
      </c>
      <c r="AN33" s="90">
        <f>+AN32/AI32-1</f>
        <v>-9.1530054644808789E-2</v>
      </c>
      <c r="AO33" s="90">
        <f>+AO32/AJ32-1</f>
        <v>0.19000000000000017</v>
      </c>
      <c r="AP33" s="90">
        <f>+AP32/AK32-1</f>
        <v>0.19767441860465107</v>
      </c>
      <c r="AQ33" s="98"/>
      <c r="AR33" s="90"/>
      <c r="AS33" s="90"/>
      <c r="AT33" s="97"/>
      <c r="AU33" s="90"/>
      <c r="AV33" s="98"/>
      <c r="AW33" s="90"/>
      <c r="AX33" s="90"/>
      <c r="AY33" s="90"/>
      <c r="AZ33" s="90"/>
      <c r="BA33" s="98"/>
      <c r="BB33" s="90"/>
      <c r="BC33" s="90"/>
      <c r="BD33" s="90"/>
      <c r="BE33" s="90"/>
      <c r="BF33" s="98"/>
      <c r="BG33" s="90"/>
      <c r="BH33" s="90"/>
      <c r="BI33" s="90"/>
      <c r="BJ33" s="90"/>
      <c r="BK33" s="98"/>
      <c r="BL33" s="90"/>
      <c r="BM33" s="90"/>
      <c r="BN33" s="90"/>
      <c r="BO33" s="90"/>
      <c r="BP33" s="98"/>
      <c r="BQ33" s="90"/>
      <c r="BR33" s="90"/>
      <c r="BS33" s="90"/>
      <c r="BT33" s="90"/>
      <c r="BU33" s="98"/>
      <c r="BV33" s="90"/>
      <c r="BW33" s="90"/>
      <c r="BX33" s="90"/>
      <c r="BY33" s="90"/>
      <c r="BZ33" s="98"/>
      <c r="CA33" s="90"/>
      <c r="CB33" s="90"/>
      <c r="CC33" s="90"/>
      <c r="CD33" s="90"/>
      <c r="CE33" s="98"/>
      <c r="CF33" s="90"/>
      <c r="CG33" s="90"/>
      <c r="CH33" s="90"/>
      <c r="CI33" s="90"/>
      <c r="CJ33" s="98"/>
      <c r="CK33" s="90"/>
      <c r="CL33" s="90"/>
      <c r="CM33" s="90"/>
      <c r="CN33" s="90"/>
      <c r="CO33" s="98"/>
      <c r="CP33" s="90"/>
      <c r="CQ33" s="90"/>
      <c r="CR33" s="90"/>
      <c r="CS33" s="90"/>
      <c r="CT33" s="98"/>
      <c r="CU33" s="90"/>
      <c r="CV33" s="90"/>
      <c r="CW33" s="90"/>
      <c r="CX33" s="90"/>
      <c r="CY33" s="98"/>
      <c r="CZ33" s="2"/>
      <c r="DA33" s="649"/>
      <c r="DB33" s="750"/>
      <c r="DC33" s="750"/>
      <c r="DD33" s="490"/>
      <c r="DE33" s="5"/>
      <c r="DF33" s="490"/>
      <c r="DG33" s="750"/>
      <c r="DH33" s="750"/>
      <c r="DJ33" s="718"/>
      <c r="DU33" s="128"/>
      <c r="DV33" s="128"/>
      <c r="DW33" s="718"/>
      <c r="DX33" s="718"/>
      <c r="DY33" s="718"/>
      <c r="DZ33" s="718"/>
      <c r="EA33" s="850"/>
      <c r="EB33" s="866"/>
      <c r="EC33" s="868"/>
      <c r="EE33" s="866"/>
    </row>
    <row r="34" spans="1:140" x14ac:dyDescent="0.2">
      <c r="A34" s="48"/>
      <c r="B34" s="48" t="s">
        <v>72</v>
      </c>
      <c r="C34" s="48"/>
      <c r="D34" s="104">
        <v>0</v>
      </c>
      <c r="E34" s="104">
        <v>0</v>
      </c>
      <c r="F34" s="104">
        <v>0</v>
      </c>
      <c r="G34" s="104">
        <v>0</v>
      </c>
      <c r="H34" s="105">
        <v>0</v>
      </c>
      <c r="I34" s="104">
        <v>0</v>
      </c>
      <c r="J34" s="104">
        <v>0</v>
      </c>
      <c r="K34" s="104">
        <v>0</v>
      </c>
      <c r="L34" s="104">
        <v>0</v>
      </c>
      <c r="M34" s="105">
        <v>0</v>
      </c>
      <c r="N34" s="104">
        <v>0</v>
      </c>
      <c r="O34" s="104">
        <v>0</v>
      </c>
      <c r="P34" s="104">
        <v>0</v>
      </c>
      <c r="Q34" s="104">
        <v>0</v>
      </c>
      <c r="R34" s="105">
        <v>0</v>
      </c>
      <c r="S34" s="104">
        <v>0</v>
      </c>
      <c r="T34" s="104">
        <v>0</v>
      </c>
      <c r="U34" s="104">
        <v>0</v>
      </c>
      <c r="V34" s="104">
        <v>38.9</v>
      </c>
      <c r="W34" s="105">
        <f>SUM(S34:V34)</f>
        <v>38.9</v>
      </c>
      <c r="X34" s="104">
        <v>73.400000000000006</v>
      </c>
      <c r="Y34" s="104">
        <v>78.8</v>
      </c>
      <c r="Z34" s="104">
        <v>61.7</v>
      </c>
      <c r="AA34" s="104">
        <v>41.2</v>
      </c>
      <c r="AB34" s="105">
        <f>SUM(X34:AA34)</f>
        <v>255.09999999999997</v>
      </c>
      <c r="AC34" s="104">
        <v>69.7</v>
      </c>
      <c r="AD34" s="104">
        <v>74.400000000000006</v>
      </c>
      <c r="AE34" s="104">
        <v>61.7</v>
      </c>
      <c r="AF34" s="104">
        <v>46.5</v>
      </c>
      <c r="AG34" s="105">
        <f>SUM(AC34:AF34)</f>
        <v>252.3</v>
      </c>
      <c r="AH34" s="104">
        <f>+'Pro-Forma Segments'!D32</f>
        <v>62.9</v>
      </c>
      <c r="AI34" s="104">
        <f>+'Pro-Forma Segments'!E32</f>
        <v>72.2</v>
      </c>
      <c r="AJ34" s="132">
        <f>+'Pro-Forma Segments'!F32</f>
        <v>45.6</v>
      </c>
      <c r="AK34" s="104">
        <f>+'Pro-Forma Segments'!G32</f>
        <v>41.2</v>
      </c>
      <c r="AL34" s="105">
        <f>+AH34+AI34+AJ34+AK34</f>
        <v>221.89999999999998</v>
      </c>
      <c r="AM34" s="104">
        <f>+'Pro-Forma Segments'!I32</f>
        <v>54.3</v>
      </c>
      <c r="AN34" s="104">
        <f>+'Pro-Forma Segments'!J32</f>
        <v>65.3</v>
      </c>
      <c r="AO34" s="104">
        <f>+'Pro-Forma Segments'!K32</f>
        <v>57.9</v>
      </c>
      <c r="AP34" s="104">
        <f>+'Pro-Forma Segments'!L32</f>
        <v>48.6</v>
      </c>
      <c r="AQ34" s="105">
        <f>+AM34+AN34+AO34+AP34</f>
        <v>226.1</v>
      </c>
      <c r="AR34" s="104">
        <f>+'Pro-Forma Segments'!N32</f>
        <v>59.8</v>
      </c>
      <c r="AS34" s="104">
        <f>+'Pro-Forma Segments'!O32</f>
        <v>62.7</v>
      </c>
      <c r="AT34" s="106">
        <f>+'Pro-Forma Segments'!P32</f>
        <v>43.2</v>
      </c>
      <c r="AU34" s="106">
        <f>+'Pro-Forma Segments'!Q32</f>
        <v>49.4</v>
      </c>
      <c r="AV34" s="105">
        <f>+AR34+AS34+AT34+AU34</f>
        <v>215.1</v>
      </c>
      <c r="AW34" s="106">
        <f>+'Pro-Forma Segments'!S32</f>
        <v>60.9</v>
      </c>
      <c r="AX34" s="104">
        <f>+'Pro-Forma Segments'!T32</f>
        <v>71.3</v>
      </c>
      <c r="AY34" s="104">
        <f>+'Pro-Forma Segments'!U32</f>
        <v>38.5</v>
      </c>
      <c r="AZ34" s="104">
        <f>+'Pro-Forma Segments'!V32</f>
        <v>50.4</v>
      </c>
      <c r="BA34" s="105">
        <f>+AW34+AX34+AY34+AZ34</f>
        <v>221.1</v>
      </c>
      <c r="BB34" s="104">
        <f>+'Pro-Forma Segments'!X32</f>
        <v>66</v>
      </c>
      <c r="BC34" s="104">
        <f>+'Pro-Forma Segments'!Y32</f>
        <v>4.3</v>
      </c>
      <c r="BD34" s="104">
        <v>0</v>
      </c>
      <c r="BE34" s="104">
        <v>0</v>
      </c>
      <c r="BF34" s="105">
        <f>+BB34+BC34+BD34+BE34</f>
        <v>70.3</v>
      </c>
      <c r="BG34" s="104">
        <v>0</v>
      </c>
      <c r="BH34" s="104">
        <v>0</v>
      </c>
      <c r="BI34" s="104">
        <v>0</v>
      </c>
      <c r="BJ34" s="528">
        <v>0</v>
      </c>
      <c r="BK34" s="105">
        <f>+BG34+BH34+BI34+BJ34</f>
        <v>0</v>
      </c>
      <c r="BL34" s="528">
        <v>0</v>
      </c>
      <c r="BM34" s="528">
        <v>0</v>
      </c>
      <c r="BN34" s="528">
        <v>0</v>
      </c>
      <c r="BO34" s="528">
        <v>0</v>
      </c>
      <c r="BP34" s="105">
        <f>+BL34+BM34+BN34+BO34</f>
        <v>0</v>
      </c>
      <c r="BQ34" s="528">
        <v>0</v>
      </c>
      <c r="BR34" s="528">
        <v>0</v>
      </c>
      <c r="BS34" s="528">
        <v>0</v>
      </c>
      <c r="BT34" s="528">
        <v>0</v>
      </c>
      <c r="BU34" s="105">
        <f>+BQ34+BR34+BS34+BT34</f>
        <v>0</v>
      </c>
      <c r="BV34" s="528">
        <v>0</v>
      </c>
      <c r="BW34" s="528">
        <v>0</v>
      </c>
      <c r="BX34" s="528">
        <v>0</v>
      </c>
      <c r="BY34" s="528">
        <v>0</v>
      </c>
      <c r="BZ34" s="105">
        <f>+BV34+BW34+BX34+BY34</f>
        <v>0</v>
      </c>
      <c r="CA34" s="114">
        <v>0</v>
      </c>
      <c r="CB34" s="114">
        <v>0</v>
      </c>
      <c r="CC34" s="114">
        <v>0</v>
      </c>
      <c r="CD34" s="114">
        <v>0</v>
      </c>
      <c r="CE34" s="105">
        <f>+CA34+CB34+CC34+CD34</f>
        <v>0</v>
      </c>
      <c r="CF34" s="114">
        <v>0</v>
      </c>
      <c r="CG34" s="114">
        <v>0</v>
      </c>
      <c r="CH34" s="114">
        <v>0</v>
      </c>
      <c r="CI34" s="114">
        <v>0</v>
      </c>
      <c r="CJ34" s="105">
        <f>+CF34+CG34+CH34+CI34</f>
        <v>0</v>
      </c>
      <c r="CK34" s="114">
        <v>0</v>
      </c>
      <c r="CL34" s="114">
        <v>0</v>
      </c>
      <c r="CM34" s="114">
        <v>0</v>
      </c>
      <c r="CN34" s="114">
        <v>0</v>
      </c>
      <c r="CO34" s="105">
        <f>+CK34+CL34+CM34+CN34</f>
        <v>0</v>
      </c>
      <c r="CP34" s="114">
        <v>0</v>
      </c>
      <c r="CQ34" s="114">
        <v>0</v>
      </c>
      <c r="CR34" s="114">
        <v>0</v>
      </c>
      <c r="CS34" s="114">
        <v>0</v>
      </c>
      <c r="CT34" s="105">
        <f>+CP34+CQ34+CR34+CS34</f>
        <v>0</v>
      </c>
      <c r="CU34" s="114">
        <v>0</v>
      </c>
      <c r="CV34" s="114">
        <v>0</v>
      </c>
      <c r="CW34" s="114">
        <v>0</v>
      </c>
      <c r="CX34" s="114">
        <v>0</v>
      </c>
      <c r="CY34" s="105">
        <f>+CU34+CV34+CW34+CX34</f>
        <v>0</v>
      </c>
      <c r="CZ34" s="133"/>
      <c r="DA34" s="492"/>
      <c r="DB34" s="308"/>
      <c r="DC34" s="308"/>
      <c r="DD34" s="748"/>
      <c r="DE34" s="745"/>
      <c r="DG34" s="308"/>
      <c r="DH34" s="308"/>
      <c r="DI34" s="773"/>
      <c r="DJ34" s="730"/>
      <c r="DU34" s="48"/>
      <c r="DV34" s="48"/>
      <c r="DW34" s="730"/>
      <c r="DX34" s="730"/>
      <c r="DY34" s="730"/>
      <c r="DZ34" s="730"/>
      <c r="EA34" s="730"/>
      <c r="EC34" s="490"/>
      <c r="ED34" s="490"/>
    </row>
    <row r="35" spans="1:140" x14ac:dyDescent="0.2">
      <c r="A35" s="48"/>
      <c r="B35" s="48" t="s">
        <v>73</v>
      </c>
      <c r="C35" s="48"/>
      <c r="D35" s="104">
        <f t="shared" ref="D35:AK35" si="46">+D32-D34</f>
        <v>0.32800000000000007</v>
      </c>
      <c r="E35" s="104">
        <f t="shared" si="46"/>
        <v>0.51100000000000001</v>
      </c>
      <c r="F35" s="104">
        <f t="shared" si="46"/>
        <v>0.126</v>
      </c>
      <c r="G35" s="104">
        <f t="shared" si="46"/>
        <v>-0.42299999999999999</v>
      </c>
      <c r="H35" s="105">
        <f t="shared" si="46"/>
        <v>0.54200000000000004</v>
      </c>
      <c r="I35" s="104">
        <f t="shared" si="46"/>
        <v>6.2E-2</v>
      </c>
      <c r="J35" s="104">
        <f t="shared" si="46"/>
        <v>0.2</v>
      </c>
      <c r="K35" s="104">
        <f t="shared" si="46"/>
        <v>0.35899999999999999</v>
      </c>
      <c r="L35" s="104">
        <f t="shared" si="46"/>
        <v>1.1000000000000001</v>
      </c>
      <c r="M35" s="105">
        <f t="shared" si="46"/>
        <v>1.75</v>
      </c>
      <c r="N35" s="104">
        <f t="shared" si="46"/>
        <v>0.3</v>
      </c>
      <c r="O35" s="104">
        <f t="shared" si="46"/>
        <v>0.8</v>
      </c>
      <c r="P35" s="104">
        <f t="shared" si="46"/>
        <v>9.4</v>
      </c>
      <c r="Q35" s="104">
        <f t="shared" si="46"/>
        <v>0</v>
      </c>
      <c r="R35" s="105">
        <f>+R32-R34</f>
        <v>10.5</v>
      </c>
      <c r="S35" s="104">
        <f t="shared" si="46"/>
        <v>0.6</v>
      </c>
      <c r="T35" s="104">
        <f t="shared" si="46"/>
        <v>0.6</v>
      </c>
      <c r="U35" s="104">
        <f t="shared" si="46"/>
        <v>12.2</v>
      </c>
      <c r="V35" s="104">
        <f t="shared" si="46"/>
        <v>0.39999999999999858</v>
      </c>
      <c r="W35" s="105">
        <f>+W32-W34</f>
        <v>13.800000000000004</v>
      </c>
      <c r="X35" s="104">
        <f t="shared" si="46"/>
        <v>2.5999999999999943</v>
      </c>
      <c r="Y35" s="104">
        <f t="shared" si="46"/>
        <v>1.2999999999999972</v>
      </c>
      <c r="Z35" s="104">
        <f t="shared" si="46"/>
        <v>13.200000000000003</v>
      </c>
      <c r="AA35" s="104">
        <f t="shared" si="46"/>
        <v>1.6999999999999957</v>
      </c>
      <c r="AB35" s="105">
        <f>+AB32-AB34</f>
        <v>18.800000000000011</v>
      </c>
      <c r="AC35" s="104">
        <f t="shared" si="46"/>
        <v>2.3999999999999915</v>
      </c>
      <c r="AD35" s="104">
        <f t="shared" si="46"/>
        <v>-0.20000000000000284</v>
      </c>
      <c r="AE35" s="104">
        <f t="shared" si="46"/>
        <v>14.599999999999966</v>
      </c>
      <c r="AF35" s="104">
        <f t="shared" si="46"/>
        <v>0.79999999999999716</v>
      </c>
      <c r="AG35" s="105">
        <f>+AG32-AG34</f>
        <v>17.599999999999966</v>
      </c>
      <c r="AH35" s="104">
        <f t="shared" si="46"/>
        <v>-0.10000000000000142</v>
      </c>
      <c r="AI35" s="104">
        <f t="shared" si="46"/>
        <v>1</v>
      </c>
      <c r="AJ35" s="134">
        <f t="shared" si="46"/>
        <v>14.399999999999999</v>
      </c>
      <c r="AK35" s="108">
        <f t="shared" si="46"/>
        <v>1.7999999999999972</v>
      </c>
      <c r="AL35" s="105">
        <f>+AH35+AI35+AJ35+AK35</f>
        <v>17.099999999999994</v>
      </c>
      <c r="AM35" s="108">
        <f>+AM32-AM34</f>
        <v>0.70000000000000284</v>
      </c>
      <c r="AN35" s="108">
        <f>+AN32-AN34</f>
        <v>1.2000000000000028</v>
      </c>
      <c r="AO35" s="108">
        <f>+AO32-AO34</f>
        <v>13.500000000000007</v>
      </c>
      <c r="AP35" s="108">
        <f>+AP32-AP34</f>
        <v>2.8999999999999986</v>
      </c>
      <c r="AQ35" s="105">
        <f>+AM35+AN35+AO35+AP35</f>
        <v>18.300000000000011</v>
      </c>
      <c r="AR35" s="108">
        <f>62.2-AR34</f>
        <v>2.4000000000000057</v>
      </c>
      <c r="AS35" s="108">
        <f>64-AS34</f>
        <v>1.2999999999999972</v>
      </c>
      <c r="AT35" s="135">
        <f>53.3-AT34</f>
        <v>10.099999999999994</v>
      </c>
      <c r="AU35" s="135">
        <f>49-AU34</f>
        <v>-0.39999999999999858</v>
      </c>
      <c r="AV35" s="105">
        <f>+AR35+AS35+AT35+AU35</f>
        <v>13.399999999999999</v>
      </c>
      <c r="AW35" s="135">
        <f>60.6-AW34</f>
        <v>-0.29999999999999716</v>
      </c>
      <c r="AX35" s="135">
        <f>70.5-AX34</f>
        <v>-0.79999999999999716</v>
      </c>
      <c r="AY35" s="108">
        <f>52.7-AY34</f>
        <v>14.200000000000003</v>
      </c>
      <c r="AZ35" s="104">
        <f>50.3-AZ34</f>
        <v>-0.10000000000000142</v>
      </c>
      <c r="BA35" s="105">
        <f>+AW35+AX35+AY35+AZ35</f>
        <v>13.000000000000007</v>
      </c>
      <c r="BB35" s="104">
        <f>66.6+0.1-BB34</f>
        <v>0.69999999999998863</v>
      </c>
      <c r="BC35" s="104">
        <f>3.7-BC34</f>
        <v>-0.59999999999999964</v>
      </c>
      <c r="BD35" s="104">
        <v>18</v>
      </c>
      <c r="BE35" s="104">
        <v>-0.5</v>
      </c>
      <c r="BF35" s="105">
        <f>+BB35+BC35+BD35+BE35</f>
        <v>17.599999999999987</v>
      </c>
      <c r="BG35" s="104">
        <v>0.5</v>
      </c>
      <c r="BH35" s="104">
        <v>-0.6</v>
      </c>
      <c r="BI35" s="104">
        <v>21.2</v>
      </c>
      <c r="BJ35" s="104">
        <v>0.4</v>
      </c>
      <c r="BK35" s="178">
        <f>+BG35+BH35+BI35+BJ35</f>
        <v>21.499999999999996</v>
      </c>
      <c r="BL35" s="104">
        <v>1</v>
      </c>
      <c r="BM35" s="104">
        <v>0.2</v>
      </c>
      <c r="BN35" s="104">
        <v>27.3</v>
      </c>
      <c r="BO35" s="104">
        <f>22.6-24.5</f>
        <v>-1.8999999999999986</v>
      </c>
      <c r="BP35" s="178">
        <f>+BL35+BM35+BN35+BO35</f>
        <v>26.6</v>
      </c>
      <c r="BQ35" s="104">
        <v>0.7</v>
      </c>
      <c r="BR35" s="104">
        <v>0</v>
      </c>
      <c r="BS35" s="104">
        <v>27.5</v>
      </c>
      <c r="BT35" s="104">
        <f>-0.9+1.7</f>
        <v>0.79999999999999993</v>
      </c>
      <c r="BU35" s="565">
        <f>+SUM(BQ35:BT35)</f>
        <v>29</v>
      </c>
      <c r="BV35" s="104">
        <v>0.4</v>
      </c>
      <c r="BW35" s="104">
        <v>0.2</v>
      </c>
      <c r="BX35" s="104">
        <f>249.1-216.9</f>
        <v>32.199999999999989</v>
      </c>
      <c r="BY35" s="104">
        <f>237.5-235.7</f>
        <v>1.8000000000000114</v>
      </c>
      <c r="BZ35" s="565">
        <f>+SUM(BV35:BY35)</f>
        <v>34.6</v>
      </c>
      <c r="CA35" s="136">
        <f>BV35*1.075</f>
        <v>0.43</v>
      </c>
      <c r="CB35" s="136">
        <f>BW35*1.075</f>
        <v>0.215</v>
      </c>
      <c r="CC35" s="136">
        <f>BX35*1.075</f>
        <v>34.614999999999988</v>
      </c>
      <c r="CD35" s="136">
        <f>BY35*1.075</f>
        <v>1.935000000000012</v>
      </c>
      <c r="CE35" s="565">
        <f>+SUM(CA35:CD35)</f>
        <v>37.195</v>
      </c>
      <c r="CF35" s="136">
        <f>CA35/CE35*CJ35</f>
        <v>0.46224999999999999</v>
      </c>
      <c r="CG35" s="136">
        <f>CB35/CE35*CJ35</f>
        <v>0.231125</v>
      </c>
      <c r="CH35" s="136">
        <f>CC35/CE35*CJ35</f>
        <v>37.211124999999988</v>
      </c>
      <c r="CI35" s="104">
        <f>CJ35-CF35-CG35-CH35</f>
        <v>2.0801250000000167</v>
      </c>
      <c r="CJ35" s="137">
        <f>CE35*1.075</f>
        <v>39.984625000000001</v>
      </c>
      <c r="CK35" s="136">
        <f>CF35/CJ35*CO35</f>
        <v>0.47380624999999993</v>
      </c>
      <c r="CL35" s="136">
        <f>CG35/CJ35*CO35</f>
        <v>0.23690312499999996</v>
      </c>
      <c r="CM35" s="136">
        <f>CH35/CJ35*CO35</f>
        <v>38.141403124999989</v>
      </c>
      <c r="CN35" s="104">
        <f>CO35-CK35-CL35-CM35</f>
        <v>2.1321281250000084</v>
      </c>
      <c r="CO35" s="137">
        <f>CJ35*1.025</f>
        <v>40.984240624999998</v>
      </c>
      <c r="CP35" s="136">
        <f>CK35/CO35*CT35</f>
        <v>0.48565140624999992</v>
      </c>
      <c r="CQ35" s="136">
        <f>CL35/CO35*CT35</f>
        <v>0.24282570312499996</v>
      </c>
      <c r="CR35" s="136">
        <f>CM35/CO35*CT35</f>
        <v>39.09493820312499</v>
      </c>
      <c r="CS35" s="104">
        <f>CT35-CP35-CQ35-CR35</f>
        <v>2.1854313281250057</v>
      </c>
      <c r="CT35" s="137">
        <f>CO35*1.025</f>
        <v>42.008846640624995</v>
      </c>
      <c r="CU35" s="136">
        <f>CP35/CT35*CY35</f>
        <v>0.49779269140624982</v>
      </c>
      <c r="CV35" s="136">
        <f>CQ35/CT35*CY35</f>
        <v>0.24889634570312491</v>
      </c>
      <c r="CW35" s="136">
        <f>CR35/CT35*CY35</f>
        <v>40.072311658203105</v>
      </c>
      <c r="CX35" s="104">
        <f>CY35-CU35-CV35-CW35</f>
        <v>2.2400671113281376</v>
      </c>
      <c r="CY35" s="137">
        <f>CT35*1.025</f>
        <v>43.059067806640613</v>
      </c>
      <c r="CZ35" s="138"/>
      <c r="DA35" s="492"/>
      <c r="DB35" s="308"/>
      <c r="DC35" s="308"/>
      <c r="DD35" s="748"/>
      <c r="DE35" s="745"/>
      <c r="DG35" s="308"/>
      <c r="DH35" s="308"/>
      <c r="DI35" s="773"/>
      <c r="DJ35" s="730"/>
      <c r="DK35" s="8"/>
      <c r="DL35" s="8"/>
      <c r="DM35" s="8"/>
      <c r="DN35" s="8"/>
      <c r="DU35" s="48"/>
      <c r="DV35" s="48"/>
      <c r="DW35" s="730"/>
      <c r="DX35" s="730"/>
      <c r="DY35" s="730"/>
      <c r="DZ35" s="730"/>
      <c r="EA35" s="730"/>
      <c r="ED35" s="869"/>
    </row>
    <row r="36" spans="1:140" ht="11.25" customHeight="1" x14ac:dyDescent="0.2">
      <c r="A36" s="48"/>
      <c r="B36" s="48"/>
      <c r="C36" s="48"/>
      <c r="D36" s="119"/>
      <c r="E36" s="119"/>
      <c r="F36" s="119"/>
      <c r="G36" s="56"/>
      <c r="H36" s="101"/>
      <c r="I36" s="119"/>
      <c r="J36" s="56"/>
      <c r="K36" s="56"/>
      <c r="L36" s="119"/>
      <c r="M36" s="101"/>
      <c r="N36" s="119"/>
      <c r="O36" s="56"/>
      <c r="P36" s="56"/>
      <c r="Q36" s="56"/>
      <c r="R36" s="101"/>
      <c r="S36" s="119"/>
      <c r="T36" s="56"/>
      <c r="U36" s="56"/>
      <c r="V36" s="56"/>
      <c r="W36" s="101"/>
      <c r="X36" s="119"/>
      <c r="Y36" s="56"/>
      <c r="Z36" s="56"/>
      <c r="AA36" s="56"/>
      <c r="AB36" s="101"/>
      <c r="AC36" s="119"/>
      <c r="AD36" s="56"/>
      <c r="AE36" s="56"/>
      <c r="AF36" s="56"/>
      <c r="AG36" s="101"/>
      <c r="AH36" s="119"/>
      <c r="AI36" s="119"/>
      <c r="AJ36" s="56"/>
      <c r="AK36" s="56"/>
      <c r="AL36" s="101"/>
      <c r="AM36" s="56"/>
      <c r="AN36" s="56"/>
      <c r="AO36" s="56"/>
      <c r="AP36" s="56"/>
      <c r="AQ36" s="101"/>
      <c r="AR36" s="56"/>
      <c r="AS36" s="139"/>
      <c r="AT36" s="106"/>
      <c r="AU36" s="88"/>
      <c r="AV36" s="101"/>
      <c r="AW36" s="88"/>
      <c r="AX36" s="56"/>
      <c r="AY36" s="56"/>
      <c r="AZ36" s="56"/>
      <c r="BA36" s="101"/>
      <c r="BB36" s="56"/>
      <c r="BC36" s="56"/>
      <c r="BD36" s="56"/>
      <c r="BE36" s="56"/>
      <c r="BF36" s="105"/>
      <c r="BG36" s="56"/>
      <c r="BH36" s="56"/>
      <c r="BI36" s="56"/>
      <c r="BJ36" s="56"/>
      <c r="BK36" s="101"/>
      <c r="BL36" s="56"/>
      <c r="BM36" s="56"/>
      <c r="BN36" s="56"/>
      <c r="BO36" s="56"/>
      <c r="BP36" s="574"/>
      <c r="BQ36" s="397"/>
      <c r="BR36" s="397"/>
      <c r="BS36" s="397"/>
      <c r="BT36" s="397"/>
      <c r="BU36" s="574"/>
      <c r="BV36" s="397"/>
      <c r="BW36" s="397"/>
      <c r="BX36" s="397"/>
      <c r="BY36" s="397"/>
      <c r="BZ36" s="574"/>
      <c r="CA36" s="397"/>
      <c r="CB36" s="397"/>
      <c r="CC36" s="397"/>
      <c r="CD36" s="397"/>
      <c r="CE36" s="574"/>
      <c r="CF36" s="397"/>
      <c r="CG36" s="397"/>
      <c r="CH36" s="397"/>
      <c r="CI36" s="397"/>
      <c r="CJ36" s="574"/>
      <c r="CK36" s="397"/>
      <c r="CL36" s="397"/>
      <c r="CM36" s="397"/>
      <c r="CN36" s="397"/>
      <c r="CO36" s="574"/>
      <c r="CP36" s="397"/>
      <c r="CQ36" s="397"/>
      <c r="CR36" s="397"/>
      <c r="CS36" s="397"/>
      <c r="CT36" s="574"/>
      <c r="CU36" s="397"/>
      <c r="CV36" s="397"/>
      <c r="CW36" s="397"/>
      <c r="CX36" s="397"/>
      <c r="CY36" s="574"/>
      <c r="CZ36" s="138"/>
      <c r="DA36" s="490"/>
      <c r="DB36" s="9"/>
      <c r="DC36" s="9"/>
      <c r="DF36" s="564"/>
      <c r="DG36" s="9"/>
      <c r="DH36" s="9"/>
      <c r="DI36" s="730"/>
      <c r="DJ36" s="730"/>
      <c r="DK36" s="8"/>
      <c r="DL36" s="564"/>
      <c r="DM36" s="564"/>
      <c r="DN36" s="8"/>
      <c r="DU36" s="48"/>
      <c r="DV36" s="48"/>
      <c r="DW36" s="730"/>
      <c r="DX36" s="730"/>
      <c r="DY36" s="730"/>
      <c r="DZ36" s="730"/>
      <c r="EA36" s="730"/>
    </row>
    <row r="37" spans="1:140" x14ac:dyDescent="0.2">
      <c r="A37" s="78" t="s">
        <v>74</v>
      </c>
      <c r="B37" s="78"/>
      <c r="C37" s="78"/>
      <c r="D37" s="84">
        <f t="shared" ref="D37:AI37" si="47">+D27+D32</f>
        <v>111.163</v>
      </c>
      <c r="E37" s="84">
        <f t="shared" si="47"/>
        <v>144.803</v>
      </c>
      <c r="F37" s="84">
        <f t="shared" si="47"/>
        <v>174.45699999999999</v>
      </c>
      <c r="G37" s="84">
        <f t="shared" si="47"/>
        <v>129.06700000000001</v>
      </c>
      <c r="H37" s="85">
        <f t="shared" si="47"/>
        <v>559.49</v>
      </c>
      <c r="I37" s="84">
        <f t="shared" si="47"/>
        <v>123.70399999999999</v>
      </c>
      <c r="J37" s="84">
        <f t="shared" si="47"/>
        <v>158.5</v>
      </c>
      <c r="K37" s="84">
        <f t="shared" si="47"/>
        <v>185.58</v>
      </c>
      <c r="L37" s="84">
        <f t="shared" si="47"/>
        <v>160.6</v>
      </c>
      <c r="M37" s="85">
        <f t="shared" si="47"/>
        <v>628.45000000000005</v>
      </c>
      <c r="N37" s="84">
        <f t="shared" si="47"/>
        <v>158.03499999999988</v>
      </c>
      <c r="O37" s="84">
        <f t="shared" si="47"/>
        <v>197.75900000000004</v>
      </c>
      <c r="P37" s="84">
        <f t="shared" si="47"/>
        <v>251.80000000000015</v>
      </c>
      <c r="Q37" s="84">
        <f t="shared" si="47"/>
        <v>162.90000000000003</v>
      </c>
      <c r="R37" s="85">
        <f t="shared" si="47"/>
        <v>770.50000000000011</v>
      </c>
      <c r="S37" s="84">
        <f t="shared" si="47"/>
        <v>165.40000000000006</v>
      </c>
      <c r="T37" s="84">
        <f t="shared" si="47"/>
        <v>237.99999999999997</v>
      </c>
      <c r="U37" s="84">
        <f t="shared" si="47"/>
        <v>291.09999999999985</v>
      </c>
      <c r="V37" s="84">
        <f t="shared" si="47"/>
        <v>200.69999999999982</v>
      </c>
      <c r="W37" s="85">
        <f t="shared" si="47"/>
        <v>895.29999999999973</v>
      </c>
      <c r="X37" s="84">
        <f t="shared" si="47"/>
        <v>158.30000000000007</v>
      </c>
      <c r="Y37" s="84">
        <f t="shared" si="47"/>
        <v>205.20000000000005</v>
      </c>
      <c r="Z37" s="84">
        <f t="shared" si="47"/>
        <v>275.29999999999995</v>
      </c>
      <c r="AA37" s="84">
        <f t="shared" si="47"/>
        <v>179.99999999999997</v>
      </c>
      <c r="AB37" s="85">
        <f t="shared" si="47"/>
        <v>818.79999999999984</v>
      </c>
      <c r="AC37" s="84">
        <f>+AC27+AC32</f>
        <v>203.40000000000009</v>
      </c>
      <c r="AD37" s="84">
        <f t="shared" si="47"/>
        <v>220.3</v>
      </c>
      <c r="AE37" s="84">
        <f t="shared" si="47"/>
        <v>293.09999999999997</v>
      </c>
      <c r="AF37" s="84">
        <f t="shared" si="47"/>
        <v>151.10000000000002</v>
      </c>
      <c r="AG37" s="85">
        <f t="shared" si="47"/>
        <v>867.89999999999975</v>
      </c>
      <c r="AH37" s="84">
        <f t="shared" si="47"/>
        <v>186.10000000000002</v>
      </c>
      <c r="AI37" s="84">
        <f t="shared" si="47"/>
        <v>240.70000000000005</v>
      </c>
      <c r="AJ37" s="84">
        <f t="shared" ref="AJ37:BE37" si="48">+AJ27+AJ32</f>
        <v>250.29999999999995</v>
      </c>
      <c r="AK37" s="84">
        <f t="shared" si="48"/>
        <v>117.50000000000003</v>
      </c>
      <c r="AL37" s="399">
        <f>+AL27+AL32</f>
        <v>794.6</v>
      </c>
      <c r="AM37" s="84">
        <f t="shared" si="48"/>
        <v>158.19999999999999</v>
      </c>
      <c r="AN37" s="84">
        <f t="shared" si="48"/>
        <v>216.99999999999997</v>
      </c>
      <c r="AO37" s="84">
        <f t="shared" si="48"/>
        <v>247.70000000000002</v>
      </c>
      <c r="AP37" s="84">
        <f t="shared" si="48"/>
        <v>155.19999999999999</v>
      </c>
      <c r="AQ37" s="85">
        <f t="shared" si="48"/>
        <v>778.1</v>
      </c>
      <c r="AR37" s="84">
        <f t="shared" si="48"/>
        <v>177.69999999999993</v>
      </c>
      <c r="AS37" s="84">
        <f t="shared" si="48"/>
        <v>212.60000000000002</v>
      </c>
      <c r="AT37" s="86">
        <f t="shared" si="48"/>
        <v>206.10000000000002</v>
      </c>
      <c r="AU37" s="84">
        <f t="shared" si="48"/>
        <v>172.1</v>
      </c>
      <c r="AV37" s="85">
        <f t="shared" si="48"/>
        <v>768.5</v>
      </c>
      <c r="AW37" s="84">
        <f t="shared" si="48"/>
        <v>170.19999999999996</v>
      </c>
      <c r="AX37" s="84">
        <f t="shared" si="48"/>
        <v>211.10000000000002</v>
      </c>
      <c r="AY37" s="84">
        <f t="shared" si="48"/>
        <v>225.59999999999997</v>
      </c>
      <c r="AZ37" s="84">
        <f t="shared" si="48"/>
        <v>183.89999999999998</v>
      </c>
      <c r="BA37" s="85">
        <f t="shared" si="48"/>
        <v>790.8</v>
      </c>
      <c r="BB37" s="84">
        <f t="shared" si="48"/>
        <v>170.29999999999995</v>
      </c>
      <c r="BC37" s="84">
        <f t="shared" si="48"/>
        <v>355.6</v>
      </c>
      <c r="BD37" s="84">
        <f t="shared" si="48"/>
        <v>393</v>
      </c>
      <c r="BE37" s="84">
        <f t="shared" si="48"/>
        <v>337.30000000000013</v>
      </c>
      <c r="BF37" s="85">
        <f t="shared" ref="BF37:BK37" si="49">+BF27+BF32</f>
        <v>1256.2000000000003</v>
      </c>
      <c r="BG37" s="84">
        <f t="shared" si="49"/>
        <v>405.1</v>
      </c>
      <c r="BH37" s="84">
        <f t="shared" si="49"/>
        <v>412.79999999999978</v>
      </c>
      <c r="BI37" s="84">
        <f t="shared" si="49"/>
        <v>436.50000000000006</v>
      </c>
      <c r="BJ37" s="84">
        <f>+BJ27+BJ32</f>
        <v>350.1</v>
      </c>
      <c r="BK37" s="85">
        <f t="shared" si="49"/>
        <v>1604.5</v>
      </c>
      <c r="BL37" s="84">
        <f t="shared" ref="BL37:BV37" si="50">+BL27+BL32</f>
        <v>455.19999999999993</v>
      </c>
      <c r="BM37" s="84">
        <f t="shared" si="50"/>
        <v>501.10000000000019</v>
      </c>
      <c r="BN37" s="84">
        <f t="shared" si="50"/>
        <v>503.1</v>
      </c>
      <c r="BO37" s="84">
        <f t="shared" si="50"/>
        <v>432.80000000000007</v>
      </c>
      <c r="BP37" s="85">
        <f t="shared" si="50"/>
        <v>1892.1999999999998</v>
      </c>
      <c r="BQ37" s="84">
        <f t="shared" si="50"/>
        <v>549.4</v>
      </c>
      <c r="BR37" s="84">
        <f t="shared" si="50"/>
        <v>620.20000000000005</v>
      </c>
      <c r="BS37" s="84">
        <f t="shared" si="50"/>
        <v>559.1</v>
      </c>
      <c r="BT37" s="84">
        <f t="shared" si="50"/>
        <v>495.60000000000008</v>
      </c>
      <c r="BU37" s="85">
        <f t="shared" si="50"/>
        <v>2224.3000000000002</v>
      </c>
      <c r="BV37" s="84">
        <f t="shared" si="50"/>
        <v>669.19999999999993</v>
      </c>
      <c r="BW37" s="84">
        <f>+BW27+BW32</f>
        <v>710.00000000000023</v>
      </c>
      <c r="BX37" s="84">
        <f>+BX27+BX32</f>
        <v>582.29999999999995</v>
      </c>
      <c r="BY37" s="84">
        <f>+BY27+BY32</f>
        <v>546.30000000000018</v>
      </c>
      <c r="BZ37" s="85">
        <f>+BZ27+BZ32</f>
        <v>2507.8000000000002</v>
      </c>
      <c r="CA37" s="84">
        <f t="shared" ref="CA37:CY37" si="51">+CA27+CA32</f>
        <v>703.6738395205</v>
      </c>
      <c r="CB37" s="84">
        <f t="shared" si="51"/>
        <v>783.5827894480002</v>
      </c>
      <c r="CC37" s="84">
        <f t="shared" si="51"/>
        <v>665.93848453575015</v>
      </c>
      <c r="CD37" s="84">
        <f t="shared" si="51"/>
        <v>604.32822189450019</v>
      </c>
      <c r="CE37" s="85">
        <f t="shared" si="51"/>
        <v>2757.5233353987496</v>
      </c>
      <c r="CF37" s="84">
        <f t="shared" si="51"/>
        <v>772.68702146468786</v>
      </c>
      <c r="CG37" s="84">
        <f t="shared" si="51"/>
        <v>859.88143072577304</v>
      </c>
      <c r="CH37" s="84">
        <f t="shared" si="51"/>
        <v>727.531476297513</v>
      </c>
      <c r="CI37" s="84">
        <f t="shared" si="51"/>
        <v>660.82708182994918</v>
      </c>
      <c r="CJ37" s="85">
        <f t="shared" si="51"/>
        <v>3020.9270103179233</v>
      </c>
      <c r="CK37" s="84">
        <f t="shared" si="51"/>
        <v>828.05011666928579</v>
      </c>
      <c r="CL37" s="84">
        <f t="shared" si="51"/>
        <v>921.18378062634838</v>
      </c>
      <c r="CM37" s="84">
        <f t="shared" si="51"/>
        <v>775.88159154363382</v>
      </c>
      <c r="CN37" s="84">
        <f t="shared" si="51"/>
        <v>706.18135526265655</v>
      </c>
      <c r="CO37" s="85">
        <f t="shared" si="51"/>
        <v>3231.2968441019248</v>
      </c>
      <c r="CP37" s="84">
        <f t="shared" si="51"/>
        <v>882.06281453360339</v>
      </c>
      <c r="CQ37" s="84">
        <f t="shared" si="51"/>
        <v>980.96586013689728</v>
      </c>
      <c r="CR37" s="84">
        <f t="shared" si="51"/>
        <v>823.22628375603495</v>
      </c>
      <c r="CS37" s="84">
        <f t="shared" si="51"/>
        <v>750.5461527100756</v>
      </c>
      <c r="CT37" s="85">
        <f t="shared" si="51"/>
        <v>3436.8011111366131</v>
      </c>
      <c r="CU37" s="84">
        <f t="shared" si="51"/>
        <v>932.69724582624713</v>
      </c>
      <c r="CV37" s="84">
        <f t="shared" si="51"/>
        <v>1037.0401320201306</v>
      </c>
      <c r="CW37" s="84">
        <f t="shared" si="51"/>
        <v>867.68479865680285</v>
      </c>
      <c r="CX37" s="84">
        <f t="shared" si="51"/>
        <v>792.13636886919619</v>
      </c>
      <c r="CY37" s="85">
        <f t="shared" si="51"/>
        <v>3629.5585453723761</v>
      </c>
      <c r="CZ37" s="86"/>
      <c r="DA37" s="797"/>
      <c r="DB37" s="738"/>
      <c r="DC37" s="738"/>
      <c r="DD37" s="748"/>
      <c r="DE37" s="798"/>
      <c r="DF37" s="766"/>
      <c r="DG37" s="738"/>
      <c r="DH37" s="738"/>
      <c r="DI37" s="773"/>
      <c r="DJ37" s="799"/>
      <c r="DK37" s="564"/>
      <c r="DL37" s="8"/>
      <c r="DM37" s="8"/>
      <c r="DN37" s="8"/>
      <c r="DU37" s="78"/>
      <c r="DV37" s="89"/>
      <c r="DW37" s="739"/>
      <c r="DX37" s="739"/>
      <c r="DY37" s="739"/>
      <c r="DZ37" s="739"/>
      <c r="EA37" s="739"/>
    </row>
    <row r="38" spans="1:140" x14ac:dyDescent="0.2">
      <c r="A38" s="125"/>
      <c r="B38" s="48" t="s">
        <v>75</v>
      </c>
      <c r="C38" s="48"/>
      <c r="D38" s="90">
        <f t="shared" ref="D38:U38" si="52">+D37/D5</f>
        <v>0.14384408943041038</v>
      </c>
      <c r="E38" s="90">
        <f t="shared" si="52"/>
        <v>0.15893834022637268</v>
      </c>
      <c r="F38" s="90">
        <f t="shared" si="52"/>
        <v>0.1767104111631525</v>
      </c>
      <c r="G38" s="90">
        <f t="shared" si="52"/>
        <v>0.14799055186726753</v>
      </c>
      <c r="H38" s="98">
        <f t="shared" si="52"/>
        <v>0.15790332249204403</v>
      </c>
      <c r="I38" s="90">
        <f t="shared" si="52"/>
        <v>0.13340163160988025</v>
      </c>
      <c r="J38" s="90">
        <f t="shared" si="52"/>
        <v>0.15285344103473583</v>
      </c>
      <c r="K38" s="90">
        <f t="shared" si="52"/>
        <v>0.17092946465495884</v>
      </c>
      <c r="L38" s="90">
        <f t="shared" si="52"/>
        <v>0.15476818020181538</v>
      </c>
      <c r="M38" s="98">
        <f t="shared" si="52"/>
        <v>0.15374404484937268</v>
      </c>
      <c r="N38" s="90">
        <f t="shared" si="52"/>
        <v>0.14412216664310751</v>
      </c>
      <c r="O38" s="90">
        <f t="shared" si="52"/>
        <v>0.16591090800941982</v>
      </c>
      <c r="P38" s="90">
        <f t="shared" si="52"/>
        <v>0.19872149001657338</v>
      </c>
      <c r="Q38" s="90">
        <f t="shared" si="52"/>
        <v>0.15545376467220157</v>
      </c>
      <c r="R38" s="98">
        <f>+R37/R5</f>
        <v>0.167372651243619</v>
      </c>
      <c r="S38" s="90">
        <f t="shared" si="52"/>
        <v>0.14309196297257554</v>
      </c>
      <c r="T38" s="90">
        <f t="shared" si="52"/>
        <v>0.16790123456790121</v>
      </c>
      <c r="U38" s="90">
        <f t="shared" si="52"/>
        <v>0.19396321961620461</v>
      </c>
      <c r="V38" s="90">
        <v>0.15128900949796459</v>
      </c>
      <c r="W38" s="98">
        <v>0.16577173752036733</v>
      </c>
      <c r="X38" s="90">
        <v>0.12867303393619189</v>
      </c>
      <c r="Y38" s="90">
        <v>0.16364288847242717</v>
      </c>
      <c r="Z38" s="90">
        <v>0.20114711577101518</v>
      </c>
      <c r="AA38" s="90">
        <v>0.16134092233227262</v>
      </c>
      <c r="AB38" s="98">
        <v>0.1647982288417027</v>
      </c>
      <c r="AC38" s="90">
        <v>0.16040376956744612</v>
      </c>
      <c r="AD38" s="90">
        <v>0.16657215228157726</v>
      </c>
      <c r="AE38" s="90">
        <v>0.22398838408925906</v>
      </c>
      <c r="AF38" s="90">
        <v>0.15871015177774281</v>
      </c>
      <c r="AG38" s="98">
        <v>0.17886363167982189</v>
      </c>
      <c r="AH38" s="90">
        <f>+AH37/(AH5+0.5*'Pro-Forma Segments'!D12)</f>
        <v>0.16748413805516807</v>
      </c>
      <c r="AI38" s="90">
        <f>+AI37/(AI5+0.5*'Pro-Forma Segments'!E12)</f>
        <v>0.19648979591836738</v>
      </c>
      <c r="AJ38" s="90">
        <f>+AJ37/(AJ5+0.5*'Pro-Forma Segments'!F12)</f>
        <v>0.20205037132709069</v>
      </c>
      <c r="AK38" s="90">
        <f>+AK37/(AK5+0.5*'Pro-Forma Segments'!G12)</f>
        <v>0.12800261452148812</v>
      </c>
      <c r="AL38" s="98">
        <f>+AL37/(AL5+0.5*'Pro-Forma Segments'!H12)</f>
        <v>0.17685681853591223</v>
      </c>
      <c r="AM38" s="90">
        <f>+AM37/(AM5+0.5*'Pro-Forma Segments'!I12)</f>
        <v>0.14404734805372182</v>
      </c>
      <c r="AN38" s="90">
        <f>+AN37/(AN5+0.5*'Pro-Forma Segments'!J12)</f>
        <v>0.18045738045738044</v>
      </c>
      <c r="AO38" s="90">
        <f>+AO37/(AO5+0.5*'Pro-Forma Segments'!K12)</f>
        <v>0.19470209086621601</v>
      </c>
      <c r="AP38" s="90">
        <f>+AP37/(AP5+0.5*'Pro-Forma Segments'!L12)</f>
        <v>0.16242804814233386</v>
      </c>
      <c r="AQ38" s="98">
        <f>+AQ37/(AQ5+0.5*'Pro-Forma Segments'!M12)</f>
        <v>0.17182479656394573</v>
      </c>
      <c r="AR38" s="90">
        <f>+AR37/(AR5+0.5*'Pro-Forma Segments'!N12)</f>
        <v>0.18243416662388989</v>
      </c>
      <c r="AS38" s="90">
        <f>+AS37/(AS5+0.5*'Pro-Forma Segments'!O12)</f>
        <v>0.20176520831356176</v>
      </c>
      <c r="AT38" s="97">
        <f>+AT37/(AT5+0.5*'Pro-Forma Segments'!P12)</f>
        <v>0.21226633709253825</v>
      </c>
      <c r="AU38" s="90">
        <f>+AU37/(AU5+0.5*'Pro-Forma Segments'!Q12)</f>
        <v>0.1932947717189869</v>
      </c>
      <c r="AV38" s="98">
        <f>+AV37/(AV5+0.5*'Pro-Forma Segments'!R12)</f>
        <v>0.19760609917589128</v>
      </c>
      <c r="AW38" s="90">
        <f>+AW37/(AW5+0.5*'Pro-Forma Segments'!S12)</f>
        <v>0.17073782414606006</v>
      </c>
      <c r="AX38" s="90">
        <f>+AX37/(AX5+0.5*'Pro-Forma Segments'!T12)</f>
        <v>0.19319117781641806</v>
      </c>
      <c r="AY38" s="90">
        <f>+AY37/(AY5+0.5*'Pro-Forma Segments'!U12)</f>
        <v>0.21679800115318085</v>
      </c>
      <c r="AZ38" s="90">
        <f>+AZ37/(AZ5+0.5*'Pro-Forma Segments'!V12)</f>
        <v>0.19156249999999997</v>
      </c>
      <c r="BA38" s="98">
        <f>+BA37/(BA5+0.5*'Pro-Forma Segments'!W12)</f>
        <v>0.19334254244954341</v>
      </c>
      <c r="BB38" s="90">
        <f>+BB37/(BB5+0.5*'Pro-Forma Segments'!X12)</f>
        <v>0.16154429899449815</v>
      </c>
      <c r="BC38" s="90">
        <f>BC37/BC5</f>
        <v>0.24359501301548159</v>
      </c>
      <c r="BD38" s="90">
        <f>BD37/BD5</f>
        <v>0.27229266264809809</v>
      </c>
      <c r="BE38" s="90">
        <f>BE37/BE5</f>
        <v>0.26122986369268908</v>
      </c>
      <c r="BF38" s="98">
        <f>+BF37/(BF5+0.5*'Pro-Forma Segments'!X12)</f>
        <v>0.23934457464037348</v>
      </c>
      <c r="BG38" s="90">
        <f t="shared" ref="BG38:BM38" si="53">BG37/BG5</f>
        <v>0.26546526867627784</v>
      </c>
      <c r="BH38" s="90">
        <f t="shared" si="53"/>
        <v>0.25678029360537435</v>
      </c>
      <c r="BI38" s="90">
        <f t="shared" si="53"/>
        <v>0.28316574764839447</v>
      </c>
      <c r="BJ38" s="90">
        <f t="shared" si="53"/>
        <v>0.25877744105255379</v>
      </c>
      <c r="BK38" s="98">
        <f t="shared" si="53"/>
        <v>0.26617451891174521</v>
      </c>
      <c r="BL38" s="90">
        <f t="shared" si="53"/>
        <v>0.27904125544044622</v>
      </c>
      <c r="BM38" s="90">
        <f t="shared" si="53"/>
        <v>0.2890850351909543</v>
      </c>
      <c r="BN38" s="90">
        <f t="shared" ref="BN38:CY38" si="54">BN37/BN5</f>
        <v>0.30667479427003963</v>
      </c>
      <c r="BO38" s="90">
        <f t="shared" si="54"/>
        <v>0.28045619491964752</v>
      </c>
      <c r="BP38" s="98">
        <f>BP37/BP5</f>
        <v>0.28895608087471747</v>
      </c>
      <c r="BQ38" s="90">
        <f>BQ37/BQ5</f>
        <v>0.29351426434448125</v>
      </c>
      <c r="BR38" s="90">
        <f>BR37/BR5</f>
        <v>0.30684741737581639</v>
      </c>
      <c r="BS38" s="90">
        <f>BS37/BS5</f>
        <v>0.30880972107152721</v>
      </c>
      <c r="BT38" s="90">
        <f>BT37/BT5</f>
        <v>0.30442260442260449</v>
      </c>
      <c r="BU38" s="98">
        <f t="shared" si="54"/>
        <v>0.30338948373457003</v>
      </c>
      <c r="BV38" s="90">
        <f t="shared" si="54"/>
        <v>0.34575045207956595</v>
      </c>
      <c r="BW38" s="90">
        <f t="shared" si="54"/>
        <v>0.34060925881506365</v>
      </c>
      <c r="BX38" s="90">
        <f>BX37/BX5</f>
        <v>0.32366183091545769</v>
      </c>
      <c r="BY38" s="90">
        <f>BY37/BY5</f>
        <v>0.30936066594937434</v>
      </c>
      <c r="BZ38" s="98">
        <f>BZ37/BZ5</f>
        <v>0.33062623599208968</v>
      </c>
      <c r="CA38" s="90">
        <f t="shared" si="54"/>
        <v>0.33983898752379443</v>
      </c>
      <c r="CB38" s="90">
        <f t="shared" si="54"/>
        <v>0.34714009059834139</v>
      </c>
      <c r="CC38" s="90">
        <f t="shared" si="54"/>
        <v>0.3372460451040995</v>
      </c>
      <c r="CD38" s="90">
        <f t="shared" si="54"/>
        <v>0.31897528736453551</v>
      </c>
      <c r="CE38" s="98">
        <f t="shared" si="54"/>
        <v>0.33640265890055876</v>
      </c>
      <c r="CF38" s="90">
        <f t="shared" si="54"/>
        <v>0.34987345698407102</v>
      </c>
      <c r="CG38" s="90">
        <f t="shared" si="54"/>
        <v>0.35722050453909365</v>
      </c>
      <c r="CH38" s="90">
        <f t="shared" si="54"/>
        <v>0.34684293638919977</v>
      </c>
      <c r="CI38" s="90">
        <f t="shared" si="54"/>
        <v>0.32849458827299266</v>
      </c>
      <c r="CJ38" s="98">
        <f t="shared" si="54"/>
        <v>0.34624259305308119</v>
      </c>
      <c r="CK38" s="90">
        <f>CK37/CK5</f>
        <v>0.35548996566374913</v>
      </c>
      <c r="CL38" s="90">
        <f t="shared" si="54"/>
        <v>0.36287343835421948</v>
      </c>
      <c r="CM38" s="90">
        <f t="shared" si="54"/>
        <v>0.35164702968249806</v>
      </c>
      <c r="CN38" s="90">
        <f t="shared" si="54"/>
        <v>0.33381969165306929</v>
      </c>
      <c r="CO38" s="98">
        <f t="shared" si="54"/>
        <v>0.35161847708041172</v>
      </c>
      <c r="CP38" s="90">
        <f t="shared" si="54"/>
        <v>0.36073496559154355</v>
      </c>
      <c r="CQ38" s="90">
        <f t="shared" si="54"/>
        <v>0.36814440728835851</v>
      </c>
      <c r="CR38" s="90">
        <f t="shared" si="54"/>
        <v>0.35617665999977755</v>
      </c>
      <c r="CS38" s="90">
        <f t="shared" si="54"/>
        <v>0.33877096548849617</v>
      </c>
      <c r="CT38" s="98">
        <f t="shared" si="54"/>
        <v>0.35664084380845079</v>
      </c>
      <c r="CU38" s="90">
        <f t="shared" si="54"/>
        <v>0.36480037518328845</v>
      </c>
      <c r="CV38" s="90">
        <f t="shared" si="54"/>
        <v>0.37223702356678706</v>
      </c>
      <c r="CW38" s="90">
        <f t="shared" si="54"/>
        <v>0.35972006569788995</v>
      </c>
      <c r="CX38" s="90">
        <f t="shared" si="54"/>
        <v>0.34266873925992586</v>
      </c>
      <c r="CY38" s="98">
        <f t="shared" si="54"/>
        <v>0.36055887172740531</v>
      </c>
      <c r="CZ38" s="97"/>
      <c r="DA38" s="793"/>
      <c r="DB38" s="750"/>
      <c r="DC38" s="750"/>
      <c r="DD38" s="778"/>
      <c r="DE38" s="800"/>
      <c r="DF38" s="801"/>
      <c r="DG38" s="750"/>
      <c r="DH38" s="750"/>
      <c r="DI38" s="779"/>
      <c r="DJ38" s="794"/>
      <c r="DK38" s="564"/>
      <c r="DL38" s="8"/>
      <c r="DM38" s="8"/>
      <c r="DN38" s="8"/>
      <c r="DU38" s="125"/>
      <c r="DV38" s="125"/>
      <c r="DW38" s="794"/>
      <c r="DX38" s="794"/>
      <c r="DY38" s="794"/>
      <c r="DZ38" s="794"/>
      <c r="EA38" s="794"/>
    </row>
    <row r="39" spans="1:140" x14ac:dyDescent="0.2">
      <c r="A39" s="127"/>
      <c r="B39" s="48" t="s">
        <v>59</v>
      </c>
      <c r="C39" s="127"/>
      <c r="D39" s="90"/>
      <c r="E39" s="90"/>
      <c r="F39" s="90"/>
      <c r="G39" s="90"/>
      <c r="H39" s="98"/>
      <c r="I39" s="90">
        <f t="shared" ref="I39:V39" si="55">+I37/D37-1</f>
        <v>0.1128163147809973</v>
      </c>
      <c r="J39" s="90">
        <f t="shared" si="55"/>
        <v>9.4590581686843533E-2</v>
      </c>
      <c r="K39" s="90">
        <f t="shared" si="55"/>
        <v>6.3757831442705193E-2</v>
      </c>
      <c r="L39" s="90">
        <f t="shared" si="55"/>
        <v>0.24431496819481335</v>
      </c>
      <c r="M39" s="98">
        <f t="shared" si="55"/>
        <v>0.12325510732988976</v>
      </c>
      <c r="N39" s="90">
        <f t="shared" si="55"/>
        <v>0.27752538317273401</v>
      </c>
      <c r="O39" s="90">
        <f t="shared" si="55"/>
        <v>0.24769085173501604</v>
      </c>
      <c r="P39" s="90">
        <f t="shared" si="55"/>
        <v>0.35682724431512081</v>
      </c>
      <c r="Q39" s="90">
        <f t="shared" si="55"/>
        <v>1.4321295143213231E-2</v>
      </c>
      <c r="R39" s="98">
        <f t="shared" si="55"/>
        <v>0.22603230169464572</v>
      </c>
      <c r="S39" s="90">
        <f t="shared" si="55"/>
        <v>4.660360046825196E-2</v>
      </c>
      <c r="T39" s="90">
        <f t="shared" si="55"/>
        <v>0.20348504998508243</v>
      </c>
      <c r="U39" s="90">
        <f t="shared" si="55"/>
        <v>0.15607625099285016</v>
      </c>
      <c r="V39" s="90">
        <f t="shared" si="55"/>
        <v>0.23204419889502614</v>
      </c>
      <c r="W39" s="98">
        <f>W37/R37-1</f>
        <v>0.16197274497079772</v>
      </c>
      <c r="X39" s="90">
        <f>+X37/S37-1</f>
        <v>-4.2926239419588841E-2</v>
      </c>
      <c r="Y39" s="90">
        <f>+Y37/T37-1</f>
        <v>-0.1378151260504199</v>
      </c>
      <c r="Z39" s="90">
        <f>+Z37/U37-1</f>
        <v>-5.4276880796976679E-2</v>
      </c>
      <c r="AA39" s="90">
        <f>+AA37/V37-1</f>
        <v>-0.1031390134529141</v>
      </c>
      <c r="AB39" s="98">
        <f>AB37/W37-1</f>
        <v>-8.5446219144420743E-2</v>
      </c>
      <c r="AC39" s="90">
        <f>+AC37/X37-1</f>
        <v>0.28490208464939992</v>
      </c>
      <c r="AD39" s="90">
        <f>+AD37/Y37-1</f>
        <v>7.3586744639376089E-2</v>
      </c>
      <c r="AE39" s="90">
        <f>+AE37/Z37-1</f>
        <v>6.4656738103886724E-2</v>
      </c>
      <c r="AF39" s="90">
        <f>+AF37/AA37-1</f>
        <v>-0.16055555555555534</v>
      </c>
      <c r="AG39" s="98">
        <f>AG37/AB37-1</f>
        <v>5.9965803615046331E-2</v>
      </c>
      <c r="AH39" s="90">
        <f>+AH37/AC37-1</f>
        <v>-8.5054080629302198E-2</v>
      </c>
      <c r="AI39" s="90">
        <f>+AI37/AD37-1</f>
        <v>9.2600998638220799E-2</v>
      </c>
      <c r="AJ39" s="90">
        <f>+AJ37/AE37-1</f>
        <v>-0.14602524735585132</v>
      </c>
      <c r="AK39" s="90">
        <f>+AK37/AF37-1</f>
        <v>-0.22236929185969545</v>
      </c>
      <c r="AL39" s="98">
        <f>AL37/AG37-1</f>
        <v>-8.4456734646848441E-2</v>
      </c>
      <c r="AM39" s="90">
        <f>+AM37/AH37-1</f>
        <v>-0.14991939817302546</v>
      </c>
      <c r="AN39" s="90">
        <f>+AN37/AI37-1</f>
        <v>-9.8462816784379181E-2</v>
      </c>
      <c r="AO39" s="90">
        <f>+AO37/AJ37-1</f>
        <v>-1.0387534958050115E-2</v>
      </c>
      <c r="AP39" s="90">
        <f>+AP37/AK37-1</f>
        <v>0.32085106382978679</v>
      </c>
      <c r="AQ39" s="98">
        <f>AQ37/AL37-1</f>
        <v>-2.0765164862824093E-2</v>
      </c>
      <c r="AR39" s="90">
        <f>+AR37/AM37-1</f>
        <v>0.1232616940581539</v>
      </c>
      <c r="AS39" s="90">
        <f>+AS37/AN37-1</f>
        <v>-2.0276497695852269E-2</v>
      </c>
      <c r="AT39" s="97">
        <f>+AT37/AO37-1</f>
        <v>-0.16794509487283005</v>
      </c>
      <c r="AU39" s="130">
        <f>+AU37/AP37-1</f>
        <v>0.10889175257731964</v>
      </c>
      <c r="AV39" s="98">
        <f>AV37/AQ37-1</f>
        <v>-1.233774579102942E-2</v>
      </c>
      <c r="AW39" s="130">
        <f>+AW37/AR37-1</f>
        <v>-4.2205965109735399E-2</v>
      </c>
      <c r="AX39" s="90">
        <f>+AX37/AS37-1</f>
        <v>-7.0555032925682104E-3</v>
      </c>
      <c r="AY39" s="90">
        <f>+AY37/AT37-1</f>
        <v>9.4614264919941515E-2</v>
      </c>
      <c r="AZ39" s="90">
        <f>+AZ37/AU37-1</f>
        <v>6.8564787914003444E-2</v>
      </c>
      <c r="BA39" s="98">
        <f>BA37/AV37-1</f>
        <v>2.9017566688353869E-2</v>
      </c>
      <c r="BB39" s="90">
        <f>+BB37/AW37-1</f>
        <v>5.8754406580496799E-4</v>
      </c>
      <c r="BC39" s="90">
        <f>+BC37/AX37-1</f>
        <v>0.68450971103742297</v>
      </c>
      <c r="BD39" s="90">
        <f>+BD37/AY37-1</f>
        <v>0.74202127659574502</v>
      </c>
      <c r="BE39" s="90">
        <f>+BE37/AZ37-1</f>
        <v>0.83414899401848919</v>
      </c>
      <c r="BF39" s="98">
        <f>BF37/BA37-1</f>
        <v>0.58851795649974759</v>
      </c>
      <c r="BG39" s="90">
        <f>+BG37/BB37-1</f>
        <v>1.3787433940105704</v>
      </c>
      <c r="BH39" s="90">
        <f>+BH37/BC37-1</f>
        <v>0.1608548931383571</v>
      </c>
      <c r="BI39" s="90">
        <f>+BI37/BD37-1</f>
        <v>0.11068702290076349</v>
      </c>
      <c r="BJ39" s="90">
        <f>+BJ37/BE37-1</f>
        <v>3.7948413874888454E-2</v>
      </c>
      <c r="BK39" s="98">
        <f>BK37/BF37-1</f>
        <v>0.27726476675688549</v>
      </c>
      <c r="BL39" s="90"/>
      <c r="BM39" s="90">
        <f>+BM37/BH37-1</f>
        <v>0.21390503875969102</v>
      </c>
      <c r="BN39" s="90">
        <f>+BN37/BI37-1</f>
        <v>0.15257731958762877</v>
      </c>
      <c r="BO39" s="90">
        <f>+BO37/BJ37-1</f>
        <v>0.23621822336475296</v>
      </c>
      <c r="BP39" s="98">
        <f>BP37/BK37-1</f>
        <v>0.17930819569959477</v>
      </c>
      <c r="BQ39" s="90">
        <f>+BQ37/BL37-1</f>
        <v>0.20694200351493852</v>
      </c>
      <c r="BR39" s="90">
        <f>+BR37/BM37-1</f>
        <v>0.23767711035721373</v>
      </c>
      <c r="BS39" s="90">
        <f>+BS37/BN37-1</f>
        <v>0.11130987875173926</v>
      </c>
      <c r="BT39" s="90">
        <f>+BT37/BO37-1</f>
        <v>0.14510166358595189</v>
      </c>
      <c r="BU39" s="98">
        <f>BU37/BP37-1</f>
        <v>0.17550998837332221</v>
      </c>
      <c r="BV39" s="90">
        <f>+BV37/BQ37-1</f>
        <v>0.21805606115762632</v>
      </c>
      <c r="BW39" s="90">
        <f>+BW37/BR37-1</f>
        <v>0.14479200257981328</v>
      </c>
      <c r="BX39" s="90">
        <f>+BX37/BS37-1</f>
        <v>4.1495260239670761E-2</v>
      </c>
      <c r="BY39" s="90">
        <f>+BY37/BT37-1</f>
        <v>0.10230024213075084</v>
      </c>
      <c r="BZ39" s="98">
        <f>BZ37/BU37-1</f>
        <v>0.127455828800072</v>
      </c>
      <c r="CA39" s="90">
        <f>+CA37/BV37-1</f>
        <v>5.1515002272116028E-2</v>
      </c>
      <c r="CB39" s="90">
        <f>+CB37/BW37-1</f>
        <v>0.10363773161690126</v>
      </c>
      <c r="CC39" s="90">
        <f>+CC37/BX37-1</f>
        <v>0.14363469781169536</v>
      </c>
      <c r="CD39" s="90">
        <f>+CD37/BY37-1</f>
        <v>0.10622043180395391</v>
      </c>
      <c r="CE39" s="98">
        <f>CE37/BZ37-1</f>
        <v>9.9578648775320744E-2</v>
      </c>
      <c r="CF39" s="90">
        <f>+CF37/CA37-1</f>
        <v>9.8075526001101698E-2</v>
      </c>
      <c r="CG39" s="90">
        <f>+CG37/CB37-1</f>
        <v>9.7371512372702806E-2</v>
      </c>
      <c r="CH39" s="90">
        <f>+CH37/CC37-1</f>
        <v>9.2490512550422066E-2</v>
      </c>
      <c r="CI39" s="90">
        <f>+CI37/CD37-1</f>
        <v>9.3490354890809924E-2</v>
      </c>
      <c r="CJ39" s="98">
        <f>CJ37/CE37-1</f>
        <v>9.5521829874590791E-2</v>
      </c>
      <c r="CK39" s="90">
        <f>+CK37/CF37-1</f>
        <v>7.165009074392481E-2</v>
      </c>
      <c r="CL39" s="90">
        <f>+CL37/CG37-1</f>
        <v>7.1291631276225731E-2</v>
      </c>
      <c r="CM39" s="90">
        <f>+CM37/CH37-1</f>
        <v>6.6457764126137686E-2</v>
      </c>
      <c r="CN39" s="90">
        <f>+CN37/CI37-1</f>
        <v>6.8632588887115764E-2</v>
      </c>
      <c r="CO39" s="98">
        <f>CO37/CJ37-1</f>
        <v>6.963750963379356E-2</v>
      </c>
      <c r="CP39" s="90">
        <f>+CP37/CK37-1</f>
        <v>6.5228778762300044E-2</v>
      </c>
      <c r="CQ39" s="90">
        <f>+CQ37/CL37-1</f>
        <v>6.4897017042463201E-2</v>
      </c>
      <c r="CR39" s="90">
        <f>+CR37/CM37-1</f>
        <v>6.1020512315813402E-2</v>
      </c>
      <c r="CS39" s="90">
        <f>+CS37/CN37-1</f>
        <v>6.2823518515180865E-2</v>
      </c>
      <c r="CT39" s="98">
        <f>CT37/CO37-1</f>
        <v>6.3598077474619652E-2</v>
      </c>
      <c r="CU39" s="90">
        <f>+CU37/CP37-1</f>
        <v>5.7404564004227998E-2</v>
      </c>
      <c r="CV39" s="90">
        <f>+CV37/CQ37-1</f>
        <v>5.7162307234023491E-2</v>
      </c>
      <c r="CW39" s="90">
        <f>+CW37/CR37-1</f>
        <v>5.4005217979584463E-2</v>
      </c>
      <c r="CX39" s="90">
        <f>+CX37/CS37-1</f>
        <v>5.5413269402482923E-2</v>
      </c>
      <c r="CY39" s="98">
        <f>CY37/CT37-1</f>
        <v>5.6086293038940083E-2</v>
      </c>
      <c r="CZ39" s="140"/>
      <c r="DA39" s="651"/>
      <c r="DB39" s="750"/>
      <c r="DC39" s="750"/>
      <c r="DD39" s="490"/>
      <c r="DE39" s="719"/>
      <c r="DF39" s="720"/>
      <c r="DG39" s="750"/>
      <c r="DH39" s="750"/>
      <c r="DI39" s="718"/>
      <c r="DJ39" s="718"/>
      <c r="DK39" s="8"/>
      <c r="DL39" s="8"/>
      <c r="DM39" s="8"/>
      <c r="DN39" s="8"/>
      <c r="DU39" s="128"/>
      <c r="DV39" s="128"/>
      <c r="DW39" s="718"/>
      <c r="DX39" s="718"/>
      <c r="DY39" s="718"/>
      <c r="DZ39" s="718"/>
      <c r="EA39" s="718"/>
    </row>
    <row r="40" spans="1:140" x14ac:dyDescent="0.2">
      <c r="A40" s="48"/>
      <c r="B40" s="48"/>
      <c r="C40" s="48"/>
      <c r="D40" s="119"/>
      <c r="E40" s="119"/>
      <c r="F40" s="119"/>
      <c r="G40" s="119"/>
      <c r="H40" s="141"/>
      <c r="I40" s="119"/>
      <c r="J40" s="119"/>
      <c r="K40" s="119"/>
      <c r="L40" s="119"/>
      <c r="M40" s="141"/>
      <c r="N40" s="119"/>
      <c r="O40" s="119"/>
      <c r="P40" s="119"/>
      <c r="Q40" s="119"/>
      <c r="R40" s="141"/>
      <c r="S40" s="119"/>
      <c r="T40" s="119"/>
      <c r="U40" s="119"/>
      <c r="V40" s="119"/>
      <c r="W40" s="141"/>
      <c r="X40" s="119"/>
      <c r="Y40" s="119"/>
      <c r="Z40" s="119"/>
      <c r="AA40" s="119"/>
      <c r="AB40" s="141"/>
      <c r="AC40" s="119"/>
      <c r="AD40" s="119"/>
      <c r="AE40" s="119"/>
      <c r="AF40" s="119"/>
      <c r="AG40" s="141"/>
      <c r="AH40" s="119"/>
      <c r="AI40" s="119"/>
      <c r="AJ40" s="119"/>
      <c r="AK40" s="119"/>
      <c r="AL40" s="141"/>
      <c r="AM40" s="119"/>
      <c r="AN40" s="119"/>
      <c r="AO40" s="119"/>
      <c r="AP40" s="119"/>
      <c r="AQ40" s="141"/>
      <c r="AR40" s="119"/>
      <c r="AS40" s="119"/>
      <c r="AT40" s="142"/>
      <c r="AU40" s="119"/>
      <c r="AV40" s="141"/>
      <c r="AW40" s="143"/>
      <c r="AX40" s="143"/>
      <c r="AY40" s="143"/>
      <c r="AZ40" s="143"/>
      <c r="BA40" s="144"/>
      <c r="BB40" s="143"/>
      <c r="BC40" s="143"/>
      <c r="BD40" s="143"/>
      <c r="BE40" s="143"/>
      <c r="BF40" s="144"/>
      <c r="BG40" s="315"/>
      <c r="BH40" s="119"/>
      <c r="BI40" s="119"/>
      <c r="BJ40" s="119"/>
      <c r="BK40" s="141"/>
      <c r="BL40" s="119"/>
      <c r="BM40" s="119"/>
      <c r="BN40" s="119"/>
      <c r="BO40" s="119"/>
      <c r="BP40" s="141"/>
      <c r="BQ40" s="119"/>
      <c r="BR40" s="119"/>
      <c r="BS40" s="119"/>
      <c r="BT40" s="119"/>
      <c r="BU40" s="141"/>
      <c r="BV40" s="119"/>
      <c r="BW40" s="119"/>
      <c r="BX40" s="119"/>
      <c r="BY40" s="119"/>
      <c r="BZ40" s="141"/>
      <c r="CA40" s="119"/>
      <c r="CB40" s="119"/>
      <c r="CC40" s="119"/>
      <c r="CD40" s="119"/>
      <c r="CE40" s="141"/>
      <c r="CF40" s="119"/>
      <c r="CG40" s="119"/>
      <c r="CH40" s="119"/>
      <c r="CI40" s="119"/>
      <c r="CJ40" s="141"/>
      <c r="CK40" s="119"/>
      <c r="CL40" s="119"/>
      <c r="CM40" s="119"/>
      <c r="CN40" s="119"/>
      <c r="CO40" s="141"/>
      <c r="CP40" s="119"/>
      <c r="CQ40" s="119"/>
      <c r="CR40" s="119"/>
      <c r="CS40" s="119"/>
      <c r="CT40" s="141"/>
      <c r="CU40" s="119"/>
      <c r="CV40" s="119"/>
      <c r="CW40" s="119"/>
      <c r="CX40" s="119"/>
      <c r="CY40" s="141"/>
      <c r="CZ40" s="142"/>
      <c r="DB40" s="735"/>
      <c r="DC40" s="735"/>
      <c r="DE40" s="719"/>
      <c r="DF40" s="802"/>
      <c r="DG40" s="735"/>
      <c r="DH40" s="735"/>
      <c r="DI40" s="730"/>
      <c r="DJ40" s="730"/>
      <c r="DK40" s="730"/>
      <c r="DL40" s="730"/>
      <c r="DM40" s="730"/>
      <c r="DN40" s="730"/>
      <c r="DU40" s="48"/>
      <c r="DV40" s="48"/>
      <c r="DW40" s="730"/>
      <c r="DX40" s="730"/>
      <c r="DY40" s="730"/>
      <c r="DZ40" s="730"/>
      <c r="EA40" s="730"/>
    </row>
    <row r="41" spans="1:140" hidden="1" outlineLevel="1" x14ac:dyDescent="0.2">
      <c r="A41" s="418" t="s">
        <v>76</v>
      </c>
      <c r="B41" s="48"/>
      <c r="C41" s="48"/>
      <c r="D41" s="119">
        <f>D134+D135</f>
        <v>23.952000000000002</v>
      </c>
      <c r="E41" s="119">
        <f>E134+E135</f>
        <v>29.173999999999996</v>
      </c>
      <c r="F41" s="119">
        <f>F134+F135</f>
        <v>24.460999999999995</v>
      </c>
      <c r="G41" s="119">
        <f>G134+G135</f>
        <v>24.599999999999998</v>
      </c>
      <c r="H41" s="141">
        <f t="shared" ref="H41:AM41" si="56">H134</f>
        <v>101.95399999999999</v>
      </c>
      <c r="I41" s="119">
        <f t="shared" si="56"/>
        <v>24.254999999999999</v>
      </c>
      <c r="J41" s="119">
        <f t="shared" si="56"/>
        <v>24.812000000000001</v>
      </c>
      <c r="K41" s="119">
        <f t="shared" si="56"/>
        <v>24.544999999999998</v>
      </c>
      <c r="L41" s="119">
        <f t="shared" si="56"/>
        <v>30.088000000000012</v>
      </c>
      <c r="M41" s="141">
        <f t="shared" si="56"/>
        <v>103.7</v>
      </c>
      <c r="N41" s="119">
        <f t="shared" si="56"/>
        <v>29.279</v>
      </c>
      <c r="O41" s="119">
        <f t="shared" si="56"/>
        <v>28.821000000000002</v>
      </c>
      <c r="P41" s="119">
        <f t="shared" si="56"/>
        <v>34.200000000000003</v>
      </c>
      <c r="Q41" s="119">
        <f t="shared" si="56"/>
        <v>35.799999999999997</v>
      </c>
      <c r="R41" s="141">
        <f t="shared" si="56"/>
        <v>128.1</v>
      </c>
      <c r="S41" s="119">
        <f t="shared" si="56"/>
        <v>28.7</v>
      </c>
      <c r="T41" s="119">
        <f t="shared" si="56"/>
        <v>33.5</v>
      </c>
      <c r="U41" s="119">
        <f t="shared" si="56"/>
        <v>36</v>
      </c>
      <c r="V41" s="119">
        <f t="shared" si="56"/>
        <v>41.09999999999998</v>
      </c>
      <c r="W41" s="141">
        <f t="shared" si="56"/>
        <v>139.29999999999998</v>
      </c>
      <c r="X41" s="119">
        <f t="shared" si="56"/>
        <v>38.700000000000003</v>
      </c>
      <c r="Y41" s="119">
        <f t="shared" si="56"/>
        <v>38.299999999999997</v>
      </c>
      <c r="Z41" s="119">
        <f t="shared" si="56"/>
        <v>40.5</v>
      </c>
      <c r="AA41" s="119">
        <f t="shared" si="56"/>
        <v>48.399999999999977</v>
      </c>
      <c r="AB41" s="141">
        <f t="shared" si="56"/>
        <v>165.89999999999998</v>
      </c>
      <c r="AC41" s="119">
        <f t="shared" si="56"/>
        <v>44.2</v>
      </c>
      <c r="AD41" s="119">
        <f t="shared" si="56"/>
        <v>41</v>
      </c>
      <c r="AE41" s="119">
        <f t="shared" si="56"/>
        <v>34</v>
      </c>
      <c r="AF41" s="119">
        <f t="shared" si="56"/>
        <v>37.799999999999997</v>
      </c>
      <c r="AG41" s="141">
        <f t="shared" si="56"/>
        <v>157</v>
      </c>
      <c r="AH41" s="119">
        <f t="shared" si="56"/>
        <v>37.200000000000003</v>
      </c>
      <c r="AI41" s="119">
        <f t="shared" si="56"/>
        <v>45.899999999999991</v>
      </c>
      <c r="AJ41" s="145">
        <f t="shared" si="56"/>
        <v>37.300000000000011</v>
      </c>
      <c r="AK41" s="119">
        <f t="shared" si="56"/>
        <v>35.5</v>
      </c>
      <c r="AL41" s="141">
        <f t="shared" si="56"/>
        <v>155.9</v>
      </c>
      <c r="AM41" s="119">
        <f t="shared" si="56"/>
        <v>34.6</v>
      </c>
      <c r="AN41" s="119">
        <f t="shared" ref="AN41:BJ41" si="57">AN134</f>
        <v>33.699999999999996</v>
      </c>
      <c r="AO41" s="119">
        <f t="shared" si="57"/>
        <v>34.600000000000016</v>
      </c>
      <c r="AP41" s="119">
        <f t="shared" si="57"/>
        <v>30.900000000000013</v>
      </c>
      <c r="AQ41" s="141">
        <f t="shared" si="57"/>
        <v>133.80000000000001</v>
      </c>
      <c r="AR41" s="119">
        <f t="shared" si="57"/>
        <v>26.9</v>
      </c>
      <c r="AS41" s="119">
        <f t="shared" si="57"/>
        <v>25.4</v>
      </c>
      <c r="AT41" s="142">
        <f t="shared" si="57"/>
        <v>28.299999999999997</v>
      </c>
      <c r="AU41" s="119">
        <f t="shared" si="57"/>
        <v>29.70000000000001</v>
      </c>
      <c r="AV41" s="141">
        <f t="shared" si="57"/>
        <v>110.30000000000001</v>
      </c>
      <c r="AW41" s="119">
        <f t="shared" si="57"/>
        <v>29.5</v>
      </c>
      <c r="AX41" s="119">
        <f t="shared" si="57"/>
        <v>22.9</v>
      </c>
      <c r="AY41" s="119">
        <f t="shared" si="57"/>
        <v>36.099999999999994</v>
      </c>
      <c r="AZ41" s="119">
        <f t="shared" si="57"/>
        <v>19.70000000000001</v>
      </c>
      <c r="BA41" s="141">
        <f t="shared" si="57"/>
        <v>108.2</v>
      </c>
      <c r="BB41" s="119">
        <f t="shared" si="57"/>
        <v>30.7</v>
      </c>
      <c r="BC41" s="119">
        <f t="shared" si="57"/>
        <v>45.499999999999986</v>
      </c>
      <c r="BD41" s="119">
        <f t="shared" si="57"/>
        <v>37.100000000000009</v>
      </c>
      <c r="BE41" s="119">
        <f t="shared" si="57"/>
        <v>26.500000000000014</v>
      </c>
      <c r="BF41" s="141">
        <f t="shared" si="57"/>
        <v>139.80000000000001</v>
      </c>
      <c r="BG41" s="119">
        <f>BG134</f>
        <v>39</v>
      </c>
      <c r="BH41" s="119">
        <f t="shared" si="57"/>
        <v>39.299999999999997</v>
      </c>
      <c r="BI41" s="119">
        <f t="shared" si="57"/>
        <v>40.100000000000009</v>
      </c>
      <c r="BJ41" s="119">
        <f t="shared" si="57"/>
        <v>43.599999999999994</v>
      </c>
      <c r="BK41" s="141">
        <f t="shared" ref="BK41:BZ41" si="58">BK134</f>
        <v>162</v>
      </c>
      <c r="BL41" s="119">
        <f t="shared" si="58"/>
        <v>43</v>
      </c>
      <c r="BM41" s="119">
        <f t="shared" si="58"/>
        <v>45.7</v>
      </c>
      <c r="BN41" s="119">
        <f t="shared" si="58"/>
        <v>41.8</v>
      </c>
      <c r="BO41" s="119">
        <f t="shared" si="58"/>
        <v>90.500000000000014</v>
      </c>
      <c r="BP41" s="141">
        <f t="shared" si="58"/>
        <v>221</v>
      </c>
      <c r="BQ41" s="119">
        <f>BQ134</f>
        <v>60</v>
      </c>
      <c r="BR41" s="119">
        <f t="shared" si="58"/>
        <v>60.2</v>
      </c>
      <c r="BS41" s="119">
        <f t="shared" si="58"/>
        <v>63.500000000000014</v>
      </c>
      <c r="BT41" s="119">
        <f t="shared" si="58"/>
        <v>110.19999999999997</v>
      </c>
      <c r="BU41" s="141">
        <f>BU134</f>
        <v>293.89999999999998</v>
      </c>
      <c r="BV41" s="119">
        <f t="shared" si="58"/>
        <v>70.099999999999994</v>
      </c>
      <c r="BW41" s="119">
        <f t="shared" si="58"/>
        <v>70.800000000000011</v>
      </c>
      <c r="BX41" s="119">
        <f t="shared" si="58"/>
        <v>73.5</v>
      </c>
      <c r="BY41" s="119">
        <f t="shared" si="58"/>
        <v>79.400000000000006</v>
      </c>
      <c r="BZ41" s="141">
        <f t="shared" si="58"/>
        <v>293.8</v>
      </c>
      <c r="CA41" s="119">
        <f>CA134</f>
        <v>82.978921867371838</v>
      </c>
      <c r="CB41" s="119">
        <f t="shared" ref="CB41:CY41" si="59">CB134</f>
        <v>82.078685709927385</v>
      </c>
      <c r="CC41" s="119">
        <f t="shared" si="59"/>
        <v>83.674771162649677</v>
      </c>
      <c r="CD41" s="119">
        <f t="shared" si="59"/>
        <v>92.174431833496314</v>
      </c>
      <c r="CE41" s="141">
        <f t="shared" si="59"/>
        <v>340.90681057344523</v>
      </c>
      <c r="CF41" s="119">
        <f t="shared" si="59"/>
        <v>90.288240338461421</v>
      </c>
      <c r="CG41" s="119">
        <f t="shared" si="59"/>
        <v>87.21420373368656</v>
      </c>
      <c r="CH41" s="119">
        <f t="shared" si="59"/>
        <v>86.998060782718696</v>
      </c>
      <c r="CI41" s="119">
        <f t="shared" si="59"/>
        <v>94.815715663262168</v>
      </c>
      <c r="CJ41" s="141">
        <f t="shared" si="59"/>
        <v>359.31622051812883</v>
      </c>
      <c r="CK41" s="119">
        <f t="shared" si="59"/>
        <v>117.3434129791608</v>
      </c>
      <c r="CL41" s="119">
        <f t="shared" si="59"/>
        <v>112.33570287674499</v>
      </c>
      <c r="CM41" s="119">
        <f t="shared" si="59"/>
        <v>110.51249325967478</v>
      </c>
      <c r="CN41" s="119">
        <f t="shared" si="59"/>
        <v>117.25649851824095</v>
      </c>
      <c r="CO41" s="141">
        <f t="shared" si="59"/>
        <v>457.44810763382156</v>
      </c>
      <c r="CP41" s="119">
        <f t="shared" si="59"/>
        <v>120.01169336912109</v>
      </c>
      <c r="CQ41" s="119">
        <f t="shared" si="59"/>
        <v>113.74323721522288</v>
      </c>
      <c r="CR41" s="119">
        <f t="shared" si="59"/>
        <v>110.70763238756881</v>
      </c>
      <c r="CS41" s="119">
        <f t="shared" si="59"/>
        <v>116.39788179264683</v>
      </c>
      <c r="CT41" s="141">
        <f t="shared" si="59"/>
        <v>460.86044476455965</v>
      </c>
      <c r="CU41" s="119">
        <f t="shared" si="59"/>
        <v>118.11400735279226</v>
      </c>
      <c r="CV41" s="119">
        <f t="shared" si="59"/>
        <v>112.04696715493161</v>
      </c>
      <c r="CW41" s="119">
        <f t="shared" si="59"/>
        <v>109.16363783333024</v>
      </c>
      <c r="CX41" s="119">
        <f t="shared" si="59"/>
        <v>114.86781910118906</v>
      </c>
      <c r="CY41" s="141">
        <f t="shared" si="59"/>
        <v>454.19243144224316</v>
      </c>
      <c r="CZ41" s="142"/>
      <c r="DA41" s="777"/>
      <c r="DB41" s="735"/>
      <c r="DC41" s="735"/>
      <c r="DD41" s="748"/>
      <c r="DG41" s="735"/>
      <c r="DH41" s="735"/>
      <c r="DI41" s="773"/>
      <c r="DJ41" s="730"/>
      <c r="DK41" s="730"/>
      <c r="DL41" s="730"/>
      <c r="DM41" s="730"/>
      <c r="DN41" s="730"/>
      <c r="DU41" s="48"/>
      <c r="DV41" s="48"/>
      <c r="DW41" s="730"/>
      <c r="DX41" s="730"/>
      <c r="DY41" s="730"/>
      <c r="DZ41" s="730"/>
      <c r="EA41" s="730"/>
    </row>
    <row r="42" spans="1:140" hidden="1" outlineLevel="1" x14ac:dyDescent="0.2">
      <c r="A42" s="48" t="s">
        <v>77</v>
      </c>
      <c r="B42" s="48"/>
      <c r="C42" s="48"/>
      <c r="D42" s="119">
        <f>+D27+D41</f>
        <v>134.78700000000001</v>
      </c>
      <c r="E42" s="119">
        <f>+E27+E41</f>
        <v>173.46600000000001</v>
      </c>
      <c r="F42" s="119">
        <f>+F27+F41</f>
        <v>198.79199999999997</v>
      </c>
      <c r="G42" s="119">
        <f>+G27+G41</f>
        <v>154.09</v>
      </c>
      <c r="H42" s="141">
        <f t="shared" ref="H42:AM42" si="60">+H37+H41</f>
        <v>661.44399999999996</v>
      </c>
      <c r="I42" s="119">
        <f t="shared" si="60"/>
        <v>147.959</v>
      </c>
      <c r="J42" s="119">
        <f t="shared" si="60"/>
        <v>183.31200000000001</v>
      </c>
      <c r="K42" s="119">
        <f t="shared" si="60"/>
        <v>210.125</v>
      </c>
      <c r="L42" s="119">
        <f t="shared" si="60"/>
        <v>190.68800000000002</v>
      </c>
      <c r="M42" s="141">
        <f t="shared" si="60"/>
        <v>732.15000000000009</v>
      </c>
      <c r="N42" s="119">
        <f t="shared" si="60"/>
        <v>187.31399999999988</v>
      </c>
      <c r="O42" s="119">
        <f t="shared" si="60"/>
        <v>226.58000000000004</v>
      </c>
      <c r="P42" s="119">
        <f t="shared" si="60"/>
        <v>286.00000000000017</v>
      </c>
      <c r="Q42" s="119">
        <f t="shared" si="60"/>
        <v>198.70000000000005</v>
      </c>
      <c r="R42" s="141">
        <f t="shared" si="60"/>
        <v>898.60000000000014</v>
      </c>
      <c r="S42" s="119">
        <f t="shared" si="60"/>
        <v>194.10000000000005</v>
      </c>
      <c r="T42" s="119">
        <f t="shared" si="60"/>
        <v>271.5</v>
      </c>
      <c r="U42" s="119">
        <f t="shared" si="60"/>
        <v>327.09999999999985</v>
      </c>
      <c r="V42" s="119">
        <f t="shared" si="60"/>
        <v>241.79999999999978</v>
      </c>
      <c r="W42" s="141">
        <f t="shared" si="60"/>
        <v>1034.5999999999997</v>
      </c>
      <c r="X42" s="119">
        <f t="shared" si="60"/>
        <v>197.00000000000006</v>
      </c>
      <c r="Y42" s="119">
        <f t="shared" si="60"/>
        <v>243.50000000000006</v>
      </c>
      <c r="Z42" s="119">
        <f t="shared" si="60"/>
        <v>315.79999999999995</v>
      </c>
      <c r="AA42" s="119">
        <f t="shared" si="60"/>
        <v>228.39999999999995</v>
      </c>
      <c r="AB42" s="141">
        <f t="shared" si="60"/>
        <v>984.69999999999982</v>
      </c>
      <c r="AC42" s="119">
        <f t="shared" si="60"/>
        <v>247.60000000000008</v>
      </c>
      <c r="AD42" s="119">
        <f t="shared" si="60"/>
        <v>261.3</v>
      </c>
      <c r="AE42" s="119">
        <f t="shared" si="60"/>
        <v>327.09999999999997</v>
      </c>
      <c r="AF42" s="119">
        <f t="shared" si="60"/>
        <v>188.90000000000003</v>
      </c>
      <c r="AG42" s="141">
        <f t="shared" si="60"/>
        <v>1024.8999999999996</v>
      </c>
      <c r="AH42" s="119">
        <f t="shared" si="60"/>
        <v>223.3</v>
      </c>
      <c r="AI42" s="119">
        <f t="shared" si="60"/>
        <v>286.60000000000002</v>
      </c>
      <c r="AJ42" s="119">
        <f t="shared" si="60"/>
        <v>287.59999999999997</v>
      </c>
      <c r="AK42" s="119">
        <f t="shared" si="60"/>
        <v>153.00000000000003</v>
      </c>
      <c r="AL42" s="141">
        <f t="shared" si="60"/>
        <v>950.5</v>
      </c>
      <c r="AM42" s="119">
        <f t="shared" si="60"/>
        <v>192.79999999999998</v>
      </c>
      <c r="AN42" s="119">
        <f t="shared" ref="AN42:BR42" si="61">+AN37+AN41</f>
        <v>250.69999999999996</v>
      </c>
      <c r="AO42" s="119">
        <f t="shared" si="61"/>
        <v>282.3</v>
      </c>
      <c r="AP42" s="119">
        <f t="shared" si="61"/>
        <v>186.1</v>
      </c>
      <c r="AQ42" s="141">
        <f t="shared" si="61"/>
        <v>911.90000000000009</v>
      </c>
      <c r="AR42" s="119">
        <f t="shared" si="61"/>
        <v>204.59999999999994</v>
      </c>
      <c r="AS42" s="119">
        <f t="shared" si="61"/>
        <v>238.00000000000003</v>
      </c>
      <c r="AT42" s="142">
        <f t="shared" si="61"/>
        <v>234.40000000000003</v>
      </c>
      <c r="AU42" s="119">
        <f t="shared" si="61"/>
        <v>201.8</v>
      </c>
      <c r="AV42" s="141">
        <f t="shared" si="61"/>
        <v>878.8</v>
      </c>
      <c r="AW42" s="119">
        <f t="shared" si="61"/>
        <v>199.69999999999996</v>
      </c>
      <c r="AX42" s="119">
        <f t="shared" si="61"/>
        <v>234.00000000000003</v>
      </c>
      <c r="AY42" s="119">
        <f t="shared" si="61"/>
        <v>261.69999999999993</v>
      </c>
      <c r="AZ42" s="119">
        <f t="shared" si="61"/>
        <v>203.6</v>
      </c>
      <c r="BA42" s="141">
        <f t="shared" si="61"/>
        <v>899</v>
      </c>
      <c r="BB42" s="119">
        <f t="shared" si="61"/>
        <v>200.99999999999994</v>
      </c>
      <c r="BC42" s="119">
        <f t="shared" si="61"/>
        <v>401.1</v>
      </c>
      <c r="BD42" s="119">
        <f t="shared" si="61"/>
        <v>430.1</v>
      </c>
      <c r="BE42" s="119">
        <f t="shared" si="61"/>
        <v>363.80000000000013</v>
      </c>
      <c r="BF42" s="141">
        <f t="shared" si="61"/>
        <v>1396.0000000000002</v>
      </c>
      <c r="BG42" s="119">
        <f t="shared" si="61"/>
        <v>444.1</v>
      </c>
      <c r="BH42" s="119">
        <f t="shared" si="61"/>
        <v>452.0999999999998</v>
      </c>
      <c r="BI42" s="119">
        <f t="shared" si="61"/>
        <v>476.60000000000008</v>
      </c>
      <c r="BJ42" s="119">
        <f t="shared" si="61"/>
        <v>393.70000000000005</v>
      </c>
      <c r="BK42" s="141">
        <f t="shared" si="61"/>
        <v>1766.5</v>
      </c>
      <c r="BL42" s="119">
        <f t="shared" si="61"/>
        <v>498.19999999999993</v>
      </c>
      <c r="BM42" s="119">
        <f t="shared" si="61"/>
        <v>546.80000000000018</v>
      </c>
      <c r="BN42" s="119">
        <f t="shared" si="61"/>
        <v>544.9</v>
      </c>
      <c r="BO42" s="119">
        <f t="shared" si="61"/>
        <v>523.30000000000007</v>
      </c>
      <c r="BP42" s="372">
        <f>+BP37+BP41</f>
        <v>2113.1999999999998</v>
      </c>
      <c r="BQ42" s="119">
        <f>+BQ37+BQ41</f>
        <v>609.4</v>
      </c>
      <c r="BR42" s="119">
        <f t="shared" si="61"/>
        <v>680.40000000000009</v>
      </c>
      <c r="BS42" s="119">
        <f>+BS37+BS41</f>
        <v>622.6</v>
      </c>
      <c r="BT42" s="119">
        <f>+BT37+BT41</f>
        <v>605.80000000000007</v>
      </c>
      <c r="BU42" s="141">
        <f>+BU37+BU41</f>
        <v>2518.2000000000003</v>
      </c>
      <c r="BV42" s="119">
        <f>+BV37+BV41</f>
        <v>739.3</v>
      </c>
      <c r="BW42" s="119">
        <f>+BW37+BW41</f>
        <v>780.80000000000018</v>
      </c>
      <c r="BX42" s="119">
        <f t="shared" ref="BX42:CY42" si="62">+BX37+BX41</f>
        <v>655.8</v>
      </c>
      <c r="BY42" s="119">
        <f t="shared" si="62"/>
        <v>625.70000000000016</v>
      </c>
      <c r="BZ42" s="141">
        <f>+BZ37+BZ41</f>
        <v>2801.6000000000004</v>
      </c>
      <c r="CA42" s="119">
        <f t="shared" si="62"/>
        <v>786.65276138787181</v>
      </c>
      <c r="CB42" s="119">
        <f t="shared" si="62"/>
        <v>865.66147515792761</v>
      </c>
      <c r="CC42" s="119">
        <f t="shared" si="62"/>
        <v>749.61325569839983</v>
      </c>
      <c r="CD42" s="119">
        <f t="shared" si="62"/>
        <v>696.50265372799652</v>
      </c>
      <c r="CE42" s="141">
        <f t="shared" si="62"/>
        <v>3098.4301459721946</v>
      </c>
      <c r="CF42" s="119">
        <f t="shared" si="62"/>
        <v>862.97526180314924</v>
      </c>
      <c r="CG42" s="119">
        <f t="shared" si="62"/>
        <v>947.09563445945957</v>
      </c>
      <c r="CH42" s="119">
        <f t="shared" si="62"/>
        <v>814.52953708023165</v>
      </c>
      <c r="CI42" s="119">
        <f t="shared" si="62"/>
        <v>755.64279749321133</v>
      </c>
      <c r="CJ42" s="141">
        <f t="shared" si="62"/>
        <v>3380.2432308360521</v>
      </c>
      <c r="CK42" s="119">
        <f t="shared" si="62"/>
        <v>945.39352964844659</v>
      </c>
      <c r="CL42" s="119">
        <f t="shared" si="62"/>
        <v>1033.5194835030934</v>
      </c>
      <c r="CM42" s="119">
        <f t="shared" si="62"/>
        <v>886.3940848033086</v>
      </c>
      <c r="CN42" s="119">
        <f t="shared" si="62"/>
        <v>823.43785378089751</v>
      </c>
      <c r="CO42" s="141">
        <f t="shared" si="62"/>
        <v>3688.7449517357463</v>
      </c>
      <c r="CP42" s="119">
        <f t="shared" si="62"/>
        <v>1002.0745079027245</v>
      </c>
      <c r="CQ42" s="119">
        <f t="shared" si="62"/>
        <v>1094.7090973521201</v>
      </c>
      <c r="CR42" s="119">
        <f t="shared" si="62"/>
        <v>933.93391614360371</v>
      </c>
      <c r="CS42" s="119">
        <f t="shared" si="62"/>
        <v>866.94403450272239</v>
      </c>
      <c r="CT42" s="141">
        <f t="shared" si="62"/>
        <v>3897.661555901173</v>
      </c>
      <c r="CU42" s="119">
        <f t="shared" si="62"/>
        <v>1050.8112531790393</v>
      </c>
      <c r="CV42" s="119">
        <f t="shared" si="62"/>
        <v>1149.0870991750621</v>
      </c>
      <c r="CW42" s="119">
        <f t="shared" si="62"/>
        <v>976.84843649013305</v>
      </c>
      <c r="CX42" s="119">
        <f t="shared" si="62"/>
        <v>907.00418797038526</v>
      </c>
      <c r="CY42" s="141">
        <f t="shared" si="62"/>
        <v>4083.7509768146192</v>
      </c>
      <c r="CZ42" s="142"/>
      <c r="DB42" s="735"/>
      <c r="DC42" s="735"/>
      <c r="DD42" s="748"/>
      <c r="DG42" s="735"/>
      <c r="DH42" s="735"/>
      <c r="DI42" s="773"/>
      <c r="DJ42" s="730"/>
      <c r="DK42" s="730"/>
      <c r="DL42" s="730"/>
      <c r="DM42" s="730"/>
      <c r="DN42" s="730"/>
      <c r="DU42" s="48"/>
      <c r="DV42" s="48"/>
      <c r="DW42" s="730"/>
      <c r="DX42" s="730"/>
      <c r="DY42" s="730"/>
      <c r="DZ42" s="730"/>
      <c r="EA42" s="730"/>
    </row>
    <row r="43" spans="1:140" hidden="1" outlineLevel="1" x14ac:dyDescent="0.2">
      <c r="A43" s="125" t="s">
        <v>78</v>
      </c>
      <c r="B43" s="125"/>
      <c r="C43" s="125"/>
      <c r="D43" s="90">
        <f t="shared" ref="D43:AI43" si="63">+D42/D5</f>
        <v>0.17441336849542316</v>
      </c>
      <c r="E43" s="90">
        <f t="shared" si="63"/>
        <v>0.19039935723505705</v>
      </c>
      <c r="F43" s="90">
        <f t="shared" si="63"/>
        <v>0.20135973939678781</v>
      </c>
      <c r="G43" s="90">
        <f t="shared" si="63"/>
        <v>0.17668237533395253</v>
      </c>
      <c r="H43" s="98">
        <f t="shared" si="63"/>
        <v>0.18667751924507597</v>
      </c>
      <c r="I43" s="90">
        <f t="shared" si="63"/>
        <v>0.15955807420428017</v>
      </c>
      <c r="J43" s="90">
        <f t="shared" si="63"/>
        <v>0.17678151408807252</v>
      </c>
      <c r="K43" s="90">
        <f t="shared" si="63"/>
        <v>0.19353676991390895</v>
      </c>
      <c r="L43" s="90">
        <f t="shared" si="63"/>
        <v>0.18376360365083297</v>
      </c>
      <c r="M43" s="98">
        <f t="shared" si="63"/>
        <v>0.17911321892985635</v>
      </c>
      <c r="N43" s="90">
        <f t="shared" si="63"/>
        <v>0.17082354872393485</v>
      </c>
      <c r="O43" s="90">
        <f t="shared" si="63"/>
        <v>0.19009043096280998</v>
      </c>
      <c r="P43" s="90">
        <f t="shared" si="63"/>
        <v>0.22571225633335976</v>
      </c>
      <c r="Q43" s="90">
        <f t="shared" si="63"/>
        <v>0.18961732989789104</v>
      </c>
      <c r="R43" s="98">
        <f t="shared" si="63"/>
        <v>0.19519930487672427</v>
      </c>
      <c r="S43" s="90">
        <f t="shared" si="63"/>
        <v>0.16792110044121467</v>
      </c>
      <c r="T43" s="90">
        <f t="shared" si="63"/>
        <v>0.19153439153439153</v>
      </c>
      <c r="U43" s="90">
        <f t="shared" si="63"/>
        <v>0.21795042643923232</v>
      </c>
      <c r="V43" s="90">
        <f t="shared" si="63"/>
        <v>0.21169672561722974</v>
      </c>
      <c r="W43" s="98">
        <f t="shared" si="63"/>
        <v>0.19833601717659685</v>
      </c>
      <c r="X43" s="90">
        <f t="shared" si="63"/>
        <v>0.21859742565468271</v>
      </c>
      <c r="Y43" s="90">
        <f t="shared" si="63"/>
        <v>0.2727985659870043</v>
      </c>
      <c r="Z43" s="90">
        <f t="shared" si="63"/>
        <v>0.28845451223967844</v>
      </c>
      <c r="AA43" s="90">
        <f t="shared" si="63"/>
        <v>0.25825418362731789</v>
      </c>
      <c r="AB43" s="98">
        <f t="shared" si="63"/>
        <v>0.26098595282268749</v>
      </c>
      <c r="AC43" s="90">
        <f t="shared" si="63"/>
        <v>0.26572225799527804</v>
      </c>
      <c r="AD43" s="90">
        <f t="shared" si="63"/>
        <v>0.27318348144276006</v>
      </c>
      <c r="AE43" s="90">
        <f t="shared" si="63"/>
        <v>0.31720325833979823</v>
      </c>
      <c r="AF43" s="90">
        <f t="shared" si="63"/>
        <v>0.25697184056590944</v>
      </c>
      <c r="AG43" s="98">
        <f t="shared" si="63"/>
        <v>0.28044108794396094</v>
      </c>
      <c r="AH43" s="90">
        <f t="shared" si="63"/>
        <v>0.28208691258211216</v>
      </c>
      <c r="AI43" s="90">
        <f t="shared" si="63"/>
        <v>0.32687043795620441</v>
      </c>
      <c r="AJ43" s="90">
        <f t="shared" ref="AJ43:BO43" si="64">+AJ42/AJ5</f>
        <v>0.29118153285410547</v>
      </c>
      <c r="AK43" s="90">
        <f t="shared" si="64"/>
        <v>0.21588824608437987</v>
      </c>
      <c r="AL43" s="98">
        <f t="shared" si="64"/>
        <v>0.28248335710889205</v>
      </c>
      <c r="AM43" s="90">
        <f t="shared" si="64"/>
        <v>0.24482539682539681</v>
      </c>
      <c r="AN43" s="90">
        <f t="shared" si="64"/>
        <v>0.29056560037088547</v>
      </c>
      <c r="AO43" s="90">
        <f t="shared" si="64"/>
        <v>0.29211506622516559</v>
      </c>
      <c r="AP43" s="90">
        <f t="shared" si="64"/>
        <v>0.26017055780791276</v>
      </c>
      <c r="AQ43" s="98">
        <f t="shared" si="64"/>
        <v>0.27367947178871549</v>
      </c>
      <c r="AR43" s="90">
        <f t="shared" si="64"/>
        <v>0.32205257358728151</v>
      </c>
      <c r="AS43" s="90">
        <f t="shared" si="64"/>
        <v>0.34482758620689657</v>
      </c>
      <c r="AT43" s="97">
        <f t="shared" si="64"/>
        <v>0.33452262023690599</v>
      </c>
      <c r="AU43" s="90">
        <f t="shared" si="64"/>
        <v>0.32128641935997454</v>
      </c>
      <c r="AV43" s="98">
        <f t="shared" si="64"/>
        <v>0.3310854085823004</v>
      </c>
      <c r="AW43" s="90">
        <f t="shared" si="64"/>
        <v>0.31458727158160049</v>
      </c>
      <c r="AX43" s="90">
        <f t="shared" si="64"/>
        <v>0.33500357909806733</v>
      </c>
      <c r="AY43" s="90">
        <f t="shared" si="64"/>
        <v>0.34124396922675698</v>
      </c>
      <c r="AZ43" s="90">
        <f t="shared" si="64"/>
        <v>0.29257077166259521</v>
      </c>
      <c r="BA43" s="98">
        <f t="shared" si="64"/>
        <v>0.32151925896784811</v>
      </c>
      <c r="BB43" s="90">
        <f t="shared" si="64"/>
        <v>0.29848529848529842</v>
      </c>
      <c r="BC43" s="90">
        <f t="shared" si="64"/>
        <v>0.27476366625565146</v>
      </c>
      <c r="BD43" s="90">
        <f t="shared" si="64"/>
        <v>0.29799764428739695</v>
      </c>
      <c r="BE43" s="90">
        <f t="shared" si="64"/>
        <v>0.28175340768277579</v>
      </c>
      <c r="BF43" s="98">
        <f t="shared" si="64"/>
        <v>0.28678842163650192</v>
      </c>
      <c r="BG43" s="90">
        <f t="shared" si="64"/>
        <v>0.29102228047182177</v>
      </c>
      <c r="BH43" s="90">
        <f t="shared" si="64"/>
        <v>0.28122667330181628</v>
      </c>
      <c r="BI43" s="90">
        <f t="shared" si="64"/>
        <v>0.30917937074278307</v>
      </c>
      <c r="BJ43" s="90">
        <f t="shared" si="64"/>
        <v>0.29100450883287754</v>
      </c>
      <c r="BK43" s="98">
        <f t="shared" si="64"/>
        <v>0.29304910418049102</v>
      </c>
      <c r="BL43" s="90">
        <f t="shared" si="64"/>
        <v>0.30540060074786979</v>
      </c>
      <c r="BM43" s="90">
        <f t="shared" si="64"/>
        <v>0.31544940579208502</v>
      </c>
      <c r="BN43" s="90">
        <f t="shared" si="64"/>
        <v>0.33215483084425479</v>
      </c>
      <c r="BO43" s="90">
        <f t="shared" si="64"/>
        <v>0.33910057024364959</v>
      </c>
      <c r="BP43" s="98">
        <f>+BP42/BP5</f>
        <v>0.32270478284771853</v>
      </c>
      <c r="BQ43" s="90">
        <f t="shared" ref="BQ43:CU43" si="65">+BQ42/BQ5</f>
        <v>0.32556897104391497</v>
      </c>
      <c r="BR43" s="90">
        <f t="shared" si="65"/>
        <v>0.33663170393825453</v>
      </c>
      <c r="BS43" s="90">
        <f t="shared" si="65"/>
        <v>0.34388290527478599</v>
      </c>
      <c r="BT43" s="90">
        <f t="shared" si="65"/>
        <v>0.37211302211302216</v>
      </c>
      <c r="BU43" s="98">
        <f t="shared" si="65"/>
        <v>0.34347677828548051</v>
      </c>
      <c r="BV43" s="90">
        <f t="shared" si="65"/>
        <v>0.38196848359597002</v>
      </c>
      <c r="BW43" s="90">
        <f t="shared" si="65"/>
        <v>0.37457423842648124</v>
      </c>
      <c r="BX43" s="90">
        <f t="shared" si="65"/>
        <v>0.36451559112889775</v>
      </c>
      <c r="BY43" s="90">
        <f t="shared" si="65"/>
        <v>0.35432357438133538</v>
      </c>
      <c r="BZ43" s="98">
        <f t="shared" si="65"/>
        <v>0.36936058009228745</v>
      </c>
      <c r="CA43" s="90">
        <f t="shared" si="65"/>
        <v>0.37991362325622335</v>
      </c>
      <c r="CB43" s="90">
        <f t="shared" si="65"/>
        <v>0.38350230117421297</v>
      </c>
      <c r="CC43" s="90">
        <f t="shared" si="65"/>
        <v>0.37962080839663792</v>
      </c>
      <c r="CD43" s="90">
        <f t="shared" si="65"/>
        <v>0.36762660765135308</v>
      </c>
      <c r="CE43" s="98">
        <f t="shared" si="65"/>
        <v>0.37799141212778486</v>
      </c>
      <c r="CF43" s="90">
        <f t="shared" si="65"/>
        <v>0.39075606261182683</v>
      </c>
      <c r="CG43" s="90">
        <f t="shared" si="65"/>
        <v>0.39345189731894126</v>
      </c>
      <c r="CH43" s="90">
        <f t="shared" si="65"/>
        <v>0.38831834170857693</v>
      </c>
      <c r="CI43" s="90">
        <f t="shared" si="65"/>
        <v>0.3756271140653108</v>
      </c>
      <c r="CJ43" s="98">
        <f t="shared" si="65"/>
        <v>0.38742550793096719</v>
      </c>
      <c r="CK43" s="90">
        <f t="shared" si="65"/>
        <v>0.40586663370724785</v>
      </c>
      <c r="CL43" s="90">
        <f t="shared" si="65"/>
        <v>0.4071248066589303</v>
      </c>
      <c r="CM43" s="90">
        <f t="shared" si="65"/>
        <v>0.40173378315251679</v>
      </c>
      <c r="CN43" s="90">
        <f t="shared" si="65"/>
        <v>0.38924812783023111</v>
      </c>
      <c r="CO43" s="98">
        <f t="shared" si="65"/>
        <v>0.40139638815135359</v>
      </c>
      <c r="CP43" s="90">
        <f t="shared" si="65"/>
        <v>0.40981583983855951</v>
      </c>
      <c r="CQ43" s="90">
        <f t="shared" si="65"/>
        <v>0.41083084353376842</v>
      </c>
      <c r="CR43" s="90">
        <f t="shared" si="65"/>
        <v>0.40407536721837872</v>
      </c>
      <c r="CS43" s="90">
        <f t="shared" si="65"/>
        <v>0.39130900415984066</v>
      </c>
      <c r="CT43" s="98">
        <f t="shared" si="65"/>
        <v>0.40446486753975519</v>
      </c>
      <c r="CU43" s="90">
        <f t="shared" si="65"/>
        <v>0.41099761055576983</v>
      </c>
      <c r="CV43" s="90">
        <f>+CV42/CV5</f>
        <v>0.41245536060663818</v>
      </c>
      <c r="CW43" s="90">
        <f>+CW42/CW5</f>
        <v>0.40497653559803637</v>
      </c>
      <c r="CX43" s="90">
        <f>+CX42/CX5</f>
        <v>0.39235918688970939</v>
      </c>
      <c r="CY43" s="98">
        <f>+CY42/CY5</f>
        <v>0.40567816339353291</v>
      </c>
      <c r="CZ43" s="97"/>
      <c r="DA43" s="793"/>
      <c r="DB43" s="750"/>
      <c r="DC43" s="750"/>
      <c r="DD43" s="793"/>
      <c r="DE43" s="800"/>
      <c r="DF43" s="793"/>
      <c r="DG43" s="750"/>
      <c r="DH43" s="750"/>
      <c r="DI43" s="794"/>
      <c r="DJ43" s="794"/>
      <c r="DK43" s="794"/>
      <c r="DL43" s="794"/>
      <c r="DM43" s="794"/>
      <c r="DN43" s="794"/>
      <c r="DU43" s="125"/>
      <c r="DV43" s="125"/>
      <c r="DW43" s="794"/>
      <c r="DX43" s="794"/>
      <c r="DY43" s="794"/>
      <c r="DZ43" s="794"/>
      <c r="EA43" s="794"/>
    </row>
    <row r="44" spans="1:140" ht="6" hidden="1" customHeight="1" outlineLevel="1" x14ac:dyDescent="0.2">
      <c r="A44" s="48"/>
      <c r="B44" s="48"/>
      <c r="C44" s="48"/>
      <c r="D44" s="56"/>
      <c r="E44" s="56"/>
      <c r="F44" s="56"/>
      <c r="G44" s="56"/>
      <c r="H44" s="141"/>
      <c r="I44" s="56"/>
      <c r="J44" s="56"/>
      <c r="K44" s="56"/>
      <c r="L44" s="56"/>
      <c r="M44" s="101"/>
      <c r="N44" s="56"/>
      <c r="O44" s="56"/>
      <c r="P44" s="56"/>
      <c r="Q44" s="56"/>
      <c r="R44" s="101"/>
      <c r="S44" s="56"/>
      <c r="T44" s="56"/>
      <c r="U44" s="56"/>
      <c r="V44" s="56"/>
      <c r="W44" s="101"/>
      <c r="X44" s="56"/>
      <c r="Y44" s="56"/>
      <c r="Z44" s="56"/>
      <c r="AA44" s="56"/>
      <c r="AB44" s="101"/>
      <c r="AC44" s="56"/>
      <c r="AD44" s="56"/>
      <c r="AE44" s="56"/>
      <c r="AF44" s="56"/>
      <c r="AG44" s="101"/>
      <c r="AH44" s="56"/>
      <c r="AI44" s="56"/>
      <c r="AJ44" s="56"/>
      <c r="AK44" s="56"/>
      <c r="AL44" s="101"/>
      <c r="AM44" s="56"/>
      <c r="AN44" s="56"/>
      <c r="AO44" s="56"/>
      <c r="AP44" s="56"/>
      <c r="AQ44" s="101"/>
      <c r="AR44" s="56"/>
      <c r="AS44" s="56"/>
      <c r="AT44" s="103"/>
      <c r="AU44" s="56"/>
      <c r="AV44" s="101"/>
      <c r="AW44" s="56"/>
      <c r="AX44" s="56"/>
      <c r="AY44" s="56"/>
      <c r="AZ44" s="56"/>
      <c r="BA44" s="101"/>
      <c r="BB44" s="56"/>
      <c r="BC44" s="56"/>
      <c r="BD44" s="56"/>
      <c r="BE44" s="56"/>
      <c r="BF44" s="101"/>
      <c r="BG44" s="56"/>
      <c r="BH44" s="56"/>
      <c r="BI44" s="56"/>
      <c r="BJ44" s="56"/>
      <c r="BK44" s="101"/>
      <c r="BL44" s="56"/>
      <c r="BM44" s="56"/>
      <c r="BN44" s="56"/>
      <c r="BO44" s="56"/>
      <c r="BP44" s="101"/>
      <c r="BQ44" s="56"/>
      <c r="BR44" s="56"/>
      <c r="BS44" s="56"/>
      <c r="BT44" s="56"/>
      <c r="BU44" s="101"/>
      <c r="BV44" s="56"/>
      <c r="BW44" s="56"/>
      <c r="BX44" s="56"/>
      <c r="BY44" s="56"/>
      <c r="BZ44" s="101"/>
      <c r="CA44" s="56"/>
      <c r="CB44" s="56"/>
      <c r="CC44" s="56"/>
      <c r="CD44" s="56"/>
      <c r="CE44" s="101"/>
      <c r="CF44" s="56"/>
      <c r="CG44" s="56"/>
      <c r="CH44" s="56"/>
      <c r="CI44" s="56"/>
      <c r="CJ44" s="101"/>
      <c r="CK44" s="56"/>
      <c r="CL44" s="56"/>
      <c r="CM44" s="56"/>
      <c r="CN44" s="56"/>
      <c r="CO44" s="101"/>
      <c r="CP44" s="56"/>
      <c r="CQ44" s="56"/>
      <c r="CR44" s="56"/>
      <c r="CS44" s="56"/>
      <c r="CT44" s="101"/>
      <c r="CU44" s="56"/>
      <c r="CV44" s="56"/>
      <c r="CW44" s="56"/>
      <c r="CX44" s="56"/>
      <c r="CY44" s="101"/>
      <c r="CZ44" s="103"/>
      <c r="DB44" s="9"/>
      <c r="DC44" s="9"/>
      <c r="DG44" s="9"/>
      <c r="DH44" s="9"/>
      <c r="DI44" s="730"/>
      <c r="DJ44" s="730"/>
      <c r="DK44" s="730"/>
      <c r="DL44" s="730"/>
      <c r="DM44" s="730"/>
      <c r="DN44" s="730"/>
      <c r="DU44" s="48"/>
      <c r="DV44" s="48"/>
      <c r="DW44" s="730"/>
      <c r="DX44" s="730"/>
      <c r="DY44" s="730"/>
      <c r="DZ44" s="730"/>
      <c r="EA44" s="730"/>
    </row>
    <row r="45" spans="1:140" collapsed="1" x14ac:dyDescent="0.2">
      <c r="A45" s="48" t="s">
        <v>79</v>
      </c>
      <c r="B45" s="48"/>
      <c r="C45" s="48"/>
      <c r="D45" s="104">
        <f>-39.243+1.061</f>
        <v>-38.182000000000002</v>
      </c>
      <c r="E45" s="119">
        <v>-41.097999999999999</v>
      </c>
      <c r="F45" s="119">
        <v>-31.888999999999999</v>
      </c>
      <c r="G45" s="104">
        <v>-32.453000000000003</v>
      </c>
      <c r="H45" s="141">
        <f>-144.683+1.061</f>
        <v>-143.62199999999999</v>
      </c>
      <c r="I45" s="119">
        <v>-30.3</v>
      </c>
      <c r="J45" s="119">
        <v>-30.4</v>
      </c>
      <c r="K45" s="119">
        <v>-30.651</v>
      </c>
      <c r="L45" s="104">
        <v>-46.3</v>
      </c>
      <c r="M45" s="141">
        <v>-137.69999999999999</v>
      </c>
      <c r="N45" s="119">
        <v>-47.3</v>
      </c>
      <c r="O45" s="119">
        <v>-46.9</v>
      </c>
      <c r="P45" s="119">
        <v>-48.1</v>
      </c>
      <c r="Q45" s="119">
        <v>-47.3</v>
      </c>
      <c r="R45" s="141">
        <v>-189.6</v>
      </c>
      <c r="S45" s="119">
        <v>-48.7</v>
      </c>
      <c r="T45" s="119">
        <v>-72.5</v>
      </c>
      <c r="U45" s="119">
        <v>-73.099999999999994</v>
      </c>
      <c r="V45" s="119">
        <v>-74.400000000000006</v>
      </c>
      <c r="W45" s="141">
        <v>-268.7</v>
      </c>
      <c r="X45" s="119">
        <v>-79.7</v>
      </c>
      <c r="Y45" s="119">
        <v>-86.7</v>
      </c>
      <c r="Z45" s="119">
        <v>-82.4</v>
      </c>
      <c r="AA45" s="119">
        <v>-93</v>
      </c>
      <c r="AB45" s="141">
        <v>-341.8</v>
      </c>
      <c r="AC45" s="119">
        <v>-86.6</v>
      </c>
      <c r="AD45" s="119">
        <v>-80.7</v>
      </c>
      <c r="AE45" s="119">
        <f>+AG45-AF45-AC45-AD45</f>
        <v>-76.59999999999998</v>
      </c>
      <c r="AF45" s="119">
        <v>-72.5</v>
      </c>
      <c r="AG45" s="141">
        <v>-316.39999999999998</v>
      </c>
      <c r="AH45" s="119">
        <v>-66.8</v>
      </c>
      <c r="AI45" s="119">
        <v>-66.599999999999994</v>
      </c>
      <c r="AJ45" s="119">
        <v>-64</v>
      </c>
      <c r="AK45" s="119">
        <v>-63.1</v>
      </c>
      <c r="AL45" s="141">
        <f>+AH45+AI45+AJ45+AK45</f>
        <v>-260.5</v>
      </c>
      <c r="AM45" s="119">
        <v>-48.5</v>
      </c>
      <c r="AN45" s="119">
        <v>-50.3</v>
      </c>
      <c r="AO45" s="119">
        <v>-49.1</v>
      </c>
      <c r="AP45" s="119">
        <v>-47.4</v>
      </c>
      <c r="AQ45" s="141">
        <f>+AM45+AN45+AO45+AP45</f>
        <v>-195.3</v>
      </c>
      <c r="AR45" s="119">
        <v>-44.3</v>
      </c>
      <c r="AS45" s="119">
        <v>-42.5</v>
      </c>
      <c r="AT45" s="142">
        <v>-46.3</v>
      </c>
      <c r="AU45" s="119">
        <v>-47.9</v>
      </c>
      <c r="AV45" s="141">
        <f>+AR45+AS45+AT45+AU45</f>
        <v>-181</v>
      </c>
      <c r="AW45" s="119">
        <v>-50.7</v>
      </c>
      <c r="AX45" s="119">
        <v>-54.6</v>
      </c>
      <c r="AY45" s="119">
        <v>-61.4</v>
      </c>
      <c r="AZ45" s="119">
        <v>-60.4</v>
      </c>
      <c r="BA45" s="141">
        <f>+AW45+AX45+AY45+AZ45</f>
        <v>-227.10000000000002</v>
      </c>
      <c r="BB45" s="119">
        <v>-54.8</v>
      </c>
      <c r="BC45" s="119">
        <v>-90.3</v>
      </c>
      <c r="BD45" s="119">
        <v>-89.6</v>
      </c>
      <c r="BE45" s="119">
        <v>-88.5</v>
      </c>
      <c r="BF45" s="141">
        <f>+BB45+BC45+BD45+BE45</f>
        <v>-323.2</v>
      </c>
      <c r="BG45" s="119">
        <v>-86.4</v>
      </c>
      <c r="BH45" s="119">
        <v>-85</v>
      </c>
      <c r="BI45" s="119">
        <v>-86</v>
      </c>
      <c r="BJ45" s="119">
        <v>-80.3</v>
      </c>
      <c r="BK45" s="141">
        <f>+BG45+BH45+BI45+BJ45</f>
        <v>-337.7</v>
      </c>
      <c r="BL45" s="119">
        <v>-77.5</v>
      </c>
      <c r="BM45" s="119">
        <v>-77.3</v>
      </c>
      <c r="BN45" s="119">
        <v>-75.599999999999994</v>
      </c>
      <c r="BO45" s="119">
        <v>-83.5</v>
      </c>
      <c r="BP45" s="141">
        <f>+BL45+BM45+BN45+BO45</f>
        <v>-313.89999999999998</v>
      </c>
      <c r="BQ45" s="119">
        <v>-84.6</v>
      </c>
      <c r="BR45" s="119">
        <v>-94.1</v>
      </c>
      <c r="BS45" s="119">
        <f>-77.6</f>
        <v>-77.599999999999994</v>
      </c>
      <c r="BT45" s="119">
        <v>-77</v>
      </c>
      <c r="BU45" s="141">
        <f>+BQ45+BR45+BS45+BT45</f>
        <v>-333.29999999999995</v>
      </c>
      <c r="BV45" s="119">
        <v>-82.4</v>
      </c>
      <c r="BW45" s="119">
        <v>-81.3</v>
      </c>
      <c r="BX45" s="119">
        <v>-81.400000000000006</v>
      </c>
      <c r="BY45" s="119">
        <v>-86.9</v>
      </c>
      <c r="BZ45" s="141">
        <f>+BV45+BW45+BX45+BY45</f>
        <v>-332</v>
      </c>
      <c r="CA45" s="119">
        <f ca="1">-CA213*(BZ210+CA210)/8+CA214*(BZ211+CA211)/8</f>
        <v>-88.945807461445867</v>
      </c>
      <c r="CB45" s="119">
        <f ca="1">-CB213*(CA210+CB210)/8+CB214*(CA211+CB211)/8</f>
        <v>-89.430393784058936</v>
      </c>
      <c r="CC45" s="119">
        <f ca="1">-CC213*(CB210+CC210)/8+CC214*(CB211+CC211)/8</f>
        <v>-90.134770468051812</v>
      </c>
      <c r="CD45" s="119">
        <f ca="1">-CD213*(CC210+CD210)/8+CD214*(CC211+CD211)/8</f>
        <v>-91.741549447470646</v>
      </c>
      <c r="CE45" s="141">
        <f ca="1">+CA45+CB45+CC45+CD45</f>
        <v>-360.25252116102729</v>
      </c>
      <c r="CF45" s="119">
        <f ca="1">-CF213*(CE210+CF210)/8+CF214*(CE211+CF211)/8</f>
        <v>-93.248489523364313</v>
      </c>
      <c r="CG45" s="119">
        <f ca="1">-CG213*(CF210+CG210)/8+CG214*(CF211+CG211)/8</f>
        <v>-94.083702823303724</v>
      </c>
      <c r="CH45" s="119">
        <f ca="1">-CH213*(CG210+CH210)/8+CH214*(CG211+CH211)/8</f>
        <v>-95.362352371774136</v>
      </c>
      <c r="CI45" s="119">
        <f ca="1">-CI213*(CH210+CI210)/8+CI214*(CH211+CI211)/8</f>
        <v>-97.708894923032204</v>
      </c>
      <c r="CJ45" s="141">
        <f ca="1">+CF45+CG45+CH45+CI45</f>
        <v>-380.40343964147439</v>
      </c>
      <c r="CK45" s="119">
        <f ca="1">-CK213*(CJ210+CK210)/8+CK214*(CJ211+CK211)/8</f>
        <v>-99.106940438512851</v>
      </c>
      <c r="CL45" s="119">
        <f ca="1">-CL213*(CK210+CL210)/8+CL214*(CK211+CL211)/8</f>
        <v>-98.79325733371293</v>
      </c>
      <c r="CM45" s="119">
        <f ca="1">-CM213*(CL210+CM210)/8+CM214*(CL211+CM211)/8</f>
        <v>-98.899741053531471</v>
      </c>
      <c r="CN45" s="119">
        <f ca="1">-CN213*(CM210+CN210)/8+CN214*(CM211+CN211)/8</f>
        <v>-100.23139181730346</v>
      </c>
      <c r="CO45" s="141">
        <f ca="1">+CK45+CL45+CM45+CN45</f>
        <v>-397.03133064306076</v>
      </c>
      <c r="CP45" s="119">
        <f ca="1">-CP213*(CO210+CP210)/8+CP214*(CO211+CP211)/8</f>
        <v>-100.87075283782839</v>
      </c>
      <c r="CQ45" s="119">
        <f ca="1">-CQ213*(CP210+CQ210)/8+CQ214*(CP211+CQ211)/8</f>
        <v>-99.825110180634695</v>
      </c>
      <c r="CR45" s="119">
        <f ca="1">-CR213*(CQ210+CR210)/8+CR214*(CQ211+CR211)/8</f>
        <v>-99.089883784244847</v>
      </c>
      <c r="CS45" s="119">
        <f ca="1">-CS213*(CR210+CS210)/8+CS214*(CR211+CS211)/8</f>
        <v>-99.710840888203705</v>
      </c>
      <c r="CT45" s="141">
        <f ca="1">+CP45+CQ45+CR45+CS45</f>
        <v>-399.49658769091161</v>
      </c>
      <c r="CU45" s="119">
        <f ca="1">-CU213*(CT210+CU210)/8+CU214*(CT211+CU211)/8</f>
        <v>-99.928736534119864</v>
      </c>
      <c r="CV45" s="119">
        <f ca="1">-CV213*(CU210+CV210)/8+CV214*(CU211+CV211)/8</f>
        <v>-98.681308094529427</v>
      </c>
      <c r="CW45" s="119">
        <f ca="1">-CW213*(CV210+CW210)/8+CW214*(CV211+CW211)/8</f>
        <v>-97.758000010139668</v>
      </c>
      <c r="CX45" s="119">
        <f ca="1">-CX213*(CW210+CX210)/8+CX214*(CW211+CX211)/8</f>
        <v>-98.259936035710155</v>
      </c>
      <c r="CY45" s="141">
        <f ca="1">+CU45+CV45+CW45+CX45</f>
        <v>-394.6279806744991</v>
      </c>
      <c r="CZ45" s="147"/>
      <c r="DA45" s="492"/>
      <c r="DB45" s="735"/>
      <c r="DC45" s="735"/>
      <c r="DD45" s="748"/>
      <c r="DE45" s="761"/>
      <c r="DF45" s="767"/>
      <c r="DG45" s="735"/>
      <c r="DH45" s="735"/>
      <c r="DI45" s="773"/>
      <c r="DJ45" s="730"/>
      <c r="DK45" s="730"/>
      <c r="DL45" s="803"/>
      <c r="DM45" s="803"/>
      <c r="DN45" s="730"/>
      <c r="DU45" s="48"/>
      <c r="DV45" s="89"/>
      <c r="DW45" s="739"/>
      <c r="DX45" s="739"/>
      <c r="DY45" s="739"/>
      <c r="DZ45" s="739"/>
      <c r="EA45" s="739"/>
      <c r="EC45" s="870"/>
      <c r="ED45" s="564"/>
      <c r="EE45" s="564"/>
    </row>
    <row r="46" spans="1:140" x14ac:dyDescent="0.2">
      <c r="A46" s="48" t="s">
        <v>80</v>
      </c>
      <c r="B46" s="48"/>
      <c r="C46" s="48"/>
      <c r="D46" s="119">
        <v>0</v>
      </c>
      <c r="E46" s="119">
        <v>0</v>
      </c>
      <c r="F46" s="119">
        <v>0</v>
      </c>
      <c r="G46" s="119">
        <v>0</v>
      </c>
      <c r="H46" s="141">
        <f>+L46-K46-J46-I46</f>
        <v>0</v>
      </c>
      <c r="I46" s="119">
        <v>0</v>
      </c>
      <c r="J46" s="104">
        <v>0</v>
      </c>
      <c r="K46" s="104">
        <v>0</v>
      </c>
      <c r="L46" s="104">
        <v>0</v>
      </c>
      <c r="M46" s="141">
        <v>0</v>
      </c>
      <c r="N46" s="119">
        <v>0</v>
      </c>
      <c r="O46" s="119">
        <v>0</v>
      </c>
      <c r="P46" s="119">
        <v>0</v>
      </c>
      <c r="Q46" s="119">
        <v>0</v>
      </c>
      <c r="R46" s="141">
        <v>0</v>
      </c>
      <c r="S46" s="119">
        <v>0</v>
      </c>
      <c r="T46" s="119">
        <v>0</v>
      </c>
      <c r="U46" s="119">
        <v>0</v>
      </c>
      <c r="V46" s="119">
        <v>0</v>
      </c>
      <c r="W46" s="141">
        <v>0</v>
      </c>
      <c r="X46" s="119">
        <v>0</v>
      </c>
      <c r="Y46" s="119">
        <v>0</v>
      </c>
      <c r="Z46" s="119">
        <v>0</v>
      </c>
      <c r="AA46" s="119">
        <v>0</v>
      </c>
      <c r="AB46" s="141">
        <v>0</v>
      </c>
      <c r="AC46" s="119">
        <v>0</v>
      </c>
      <c r="AD46" s="119">
        <v>0</v>
      </c>
      <c r="AE46" s="119">
        <v>0</v>
      </c>
      <c r="AF46" s="119">
        <v>0</v>
      </c>
      <c r="AG46" s="141">
        <f>+AC46+AD46+AE46+AF46</f>
        <v>0</v>
      </c>
      <c r="AH46" s="119">
        <v>0</v>
      </c>
      <c r="AI46" s="119">
        <v>0</v>
      </c>
      <c r="AJ46" s="119">
        <v>0</v>
      </c>
      <c r="AK46" s="119">
        <v>0</v>
      </c>
      <c r="AL46" s="141">
        <f>+AH46+AI46+AJ46+AK46</f>
        <v>0</v>
      </c>
      <c r="AM46" s="119">
        <v>0</v>
      </c>
      <c r="AN46" s="119">
        <v>0</v>
      </c>
      <c r="AO46" s="119">
        <v>0</v>
      </c>
      <c r="AP46" s="119">
        <v>0</v>
      </c>
      <c r="AQ46" s="141">
        <f>+AM46+AN46+AO46+AP46</f>
        <v>0</v>
      </c>
      <c r="AR46" s="62">
        <v>0</v>
      </c>
      <c r="AS46" s="119">
        <v>0</v>
      </c>
      <c r="AT46" s="142">
        <v>0</v>
      </c>
      <c r="AU46" s="62">
        <v>0</v>
      </c>
      <c r="AV46" s="141">
        <f>+AR46+AS46+AT46+AU46</f>
        <v>0</v>
      </c>
      <c r="AW46" s="62">
        <v>0</v>
      </c>
      <c r="AX46" s="62">
        <v>0</v>
      </c>
      <c r="AY46" s="62">
        <v>0</v>
      </c>
      <c r="AZ46" s="62">
        <v>0</v>
      </c>
      <c r="BA46" s="141">
        <f>+AW46+AX46+AY46+AZ46</f>
        <v>0</v>
      </c>
      <c r="BB46" s="62">
        <v>0</v>
      </c>
      <c r="BC46" s="62">
        <v>0</v>
      </c>
      <c r="BD46" s="62">
        <v>0</v>
      </c>
      <c r="BE46" s="62">
        <v>0</v>
      </c>
      <c r="BF46" s="141">
        <f>+BB46+BC46+BD46+BE46</f>
        <v>0</v>
      </c>
      <c r="BG46" s="62">
        <v>0</v>
      </c>
      <c r="BH46" s="62">
        <v>0</v>
      </c>
      <c r="BI46" s="62">
        <v>0</v>
      </c>
      <c r="BJ46" s="527">
        <v>0</v>
      </c>
      <c r="BK46" s="141">
        <f>+BG46+BH46+BI46+BJ46</f>
        <v>0</v>
      </c>
      <c r="BL46" s="527">
        <v>0</v>
      </c>
      <c r="BM46" s="527">
        <v>0</v>
      </c>
      <c r="BN46" s="527">
        <v>0</v>
      </c>
      <c r="BO46" s="527">
        <v>0</v>
      </c>
      <c r="BP46" s="141">
        <f>+BL46+BM46+BN46+BO46</f>
        <v>0</v>
      </c>
      <c r="BQ46" s="527">
        <v>0</v>
      </c>
      <c r="BR46" s="527">
        <v>0</v>
      </c>
      <c r="BS46" s="527">
        <v>0</v>
      </c>
      <c r="BT46" s="527">
        <v>0</v>
      </c>
      <c r="BU46" s="141">
        <f>+BQ46+BR46+BS46+BT46</f>
        <v>0</v>
      </c>
      <c r="BV46" s="527">
        <v>0</v>
      </c>
      <c r="BW46" s="527">
        <v>0</v>
      </c>
      <c r="BX46" s="527">
        <v>0</v>
      </c>
      <c r="BY46" s="527">
        <v>0</v>
      </c>
      <c r="BZ46" s="141">
        <f>+BV46+BW46+BX46+BY46</f>
        <v>0</v>
      </c>
      <c r="CA46" s="148">
        <v>0</v>
      </c>
      <c r="CB46" s="148">
        <v>0</v>
      </c>
      <c r="CC46" s="148">
        <v>0</v>
      </c>
      <c r="CD46" s="148">
        <v>0</v>
      </c>
      <c r="CE46" s="141">
        <f>+CA46+CB46+CC46+CD46</f>
        <v>0</v>
      </c>
      <c r="CF46" s="148">
        <v>0</v>
      </c>
      <c r="CG46" s="148">
        <v>0</v>
      </c>
      <c r="CH46" s="148">
        <v>0</v>
      </c>
      <c r="CI46" s="148">
        <v>0</v>
      </c>
      <c r="CJ46" s="141">
        <f>+CF46+CG46+CH46+CI46</f>
        <v>0</v>
      </c>
      <c r="CK46" s="148">
        <v>0</v>
      </c>
      <c r="CL46" s="148">
        <v>0</v>
      </c>
      <c r="CM46" s="148">
        <v>0</v>
      </c>
      <c r="CN46" s="148">
        <v>0</v>
      </c>
      <c r="CO46" s="141">
        <f>+CK46+CL46+CM46+CN46</f>
        <v>0</v>
      </c>
      <c r="CP46" s="148">
        <v>0</v>
      </c>
      <c r="CQ46" s="148">
        <v>0</v>
      </c>
      <c r="CR46" s="148">
        <v>0</v>
      </c>
      <c r="CS46" s="148">
        <v>0</v>
      </c>
      <c r="CT46" s="141">
        <f>+CP46+CQ46+CR46+CS46</f>
        <v>0</v>
      </c>
      <c r="CU46" s="148">
        <v>0</v>
      </c>
      <c r="CV46" s="148">
        <v>0</v>
      </c>
      <c r="CW46" s="148">
        <v>0</v>
      </c>
      <c r="CX46" s="148">
        <v>0</v>
      </c>
      <c r="CY46" s="141">
        <f>+CU46+CV46+CW46+CX46</f>
        <v>0</v>
      </c>
      <c r="CZ46" s="142"/>
      <c r="DB46" s="735"/>
      <c r="DC46" s="735"/>
      <c r="DD46" s="748"/>
      <c r="DF46" s="802"/>
      <c r="DG46" s="735"/>
      <c r="DH46" s="735"/>
      <c r="DI46" s="773"/>
      <c r="DJ46" s="730"/>
      <c r="DK46" s="730"/>
      <c r="DL46" s="803"/>
      <c r="DM46" s="803"/>
      <c r="DN46" s="730"/>
      <c r="DU46" s="48"/>
      <c r="DV46" s="89"/>
      <c r="DW46" s="739"/>
      <c r="DX46" s="739"/>
      <c r="DY46" s="739"/>
      <c r="DZ46" s="739"/>
      <c r="EA46" s="739"/>
      <c r="EB46" s="564"/>
      <c r="EC46" s="871"/>
      <c r="ED46" s="871"/>
      <c r="EE46" s="871"/>
      <c r="EH46" s="871"/>
      <c r="EI46" s="872"/>
      <c r="EJ46" s="869"/>
    </row>
    <row r="47" spans="1:140" ht="13.5" customHeight="1" x14ac:dyDescent="0.2">
      <c r="A47" s="48"/>
      <c r="B47" s="48"/>
      <c r="C47" s="48"/>
      <c r="D47" s="149"/>
      <c r="E47" s="149"/>
      <c r="F47" s="149"/>
      <c r="G47" s="104"/>
      <c r="H47" s="150"/>
      <c r="I47" s="149"/>
      <c r="J47" s="149"/>
      <c r="K47" s="149"/>
      <c r="L47" s="104"/>
      <c r="M47" s="150"/>
      <c r="N47" s="149"/>
      <c r="O47" s="149"/>
      <c r="P47" s="149"/>
      <c r="Q47" s="104"/>
      <c r="R47" s="150"/>
      <c r="S47" s="149"/>
      <c r="T47" s="149"/>
      <c r="U47" s="149"/>
      <c r="V47" s="104"/>
      <c r="W47" s="150"/>
      <c r="X47" s="48"/>
      <c r="Y47" s="48"/>
      <c r="Z47" s="151"/>
      <c r="AA47" s="151"/>
      <c r="AB47" s="152"/>
      <c r="AC47" s="151"/>
      <c r="AD47" s="151"/>
      <c r="AE47" s="151"/>
      <c r="AF47" s="151"/>
      <c r="AG47" s="152"/>
      <c r="AH47" s="149"/>
      <c r="AI47" s="149"/>
      <c r="AJ47" s="149"/>
      <c r="AK47" s="149"/>
      <c r="AL47" s="152"/>
      <c r="AM47" s="149"/>
      <c r="AN47" s="149"/>
      <c r="AO47" s="149"/>
      <c r="AP47" s="149"/>
      <c r="AQ47" s="152"/>
      <c r="AR47" s="108"/>
      <c r="AS47" s="149"/>
      <c r="AT47" s="153"/>
      <c r="AU47" s="149"/>
      <c r="AV47" s="152"/>
      <c r="AW47" s="149"/>
      <c r="AX47" s="149"/>
      <c r="AY47" s="149"/>
      <c r="AZ47" s="149"/>
      <c r="BA47" s="152"/>
      <c r="BB47" s="149"/>
      <c r="BC47" s="149"/>
      <c r="BD47" s="149"/>
      <c r="BE47" s="313"/>
      <c r="BF47" s="152"/>
      <c r="BG47" s="149"/>
      <c r="BH47" s="149"/>
      <c r="BI47" s="149"/>
      <c r="BJ47" s="149"/>
      <c r="BK47" s="152"/>
      <c r="BL47" s="525"/>
      <c r="BM47" s="149"/>
      <c r="BN47" s="149"/>
      <c r="BO47" s="149"/>
      <c r="BP47" s="408"/>
      <c r="BQ47" s="409"/>
      <c r="BR47" s="409"/>
      <c r="BS47" s="409"/>
      <c r="BT47" s="409"/>
      <c r="BU47" s="616"/>
      <c r="BV47" s="409"/>
      <c r="BW47" s="409"/>
      <c r="BX47" s="409"/>
      <c r="BY47" s="409"/>
      <c r="BZ47" s="616"/>
      <c r="CA47" s="409"/>
      <c r="CB47" s="409"/>
      <c r="CC47" s="409"/>
      <c r="CD47" s="409"/>
      <c r="CE47" s="408"/>
      <c r="CF47" s="149"/>
      <c r="CG47" s="149"/>
      <c r="CH47" s="149"/>
      <c r="CI47" s="149"/>
      <c r="CJ47" s="152"/>
      <c r="CK47" s="149"/>
      <c r="CL47" s="149"/>
      <c r="CM47" s="149"/>
      <c r="CN47" s="149"/>
      <c r="CO47" s="152"/>
      <c r="CP47" s="149"/>
      <c r="CQ47" s="149"/>
      <c r="CR47" s="149"/>
      <c r="CS47" s="149"/>
      <c r="CT47" s="152"/>
      <c r="CU47" s="149"/>
      <c r="CV47" s="149"/>
      <c r="CW47" s="149"/>
      <c r="CX47" s="149"/>
      <c r="CY47" s="152"/>
      <c r="CZ47" s="154"/>
      <c r="DB47" s="308"/>
      <c r="DC47" s="308"/>
      <c r="DG47" s="308"/>
      <c r="DH47" s="308"/>
      <c r="DI47" s="730"/>
      <c r="DJ47" s="730"/>
      <c r="DK47" s="723"/>
      <c r="DL47" s="723"/>
      <c r="DM47" s="723"/>
      <c r="DN47" s="730"/>
      <c r="DU47" s="48"/>
      <c r="DV47" s="48"/>
      <c r="DW47" s="730"/>
      <c r="DX47" s="730"/>
      <c r="DY47" s="730"/>
      <c r="DZ47" s="730"/>
      <c r="EA47" s="730"/>
      <c r="EB47" s="564"/>
      <c r="EC47" s="871"/>
      <c r="ED47" s="871"/>
      <c r="EE47" s="871"/>
      <c r="EH47" s="871"/>
      <c r="EI47" s="490"/>
      <c r="EJ47" s="869"/>
    </row>
    <row r="48" spans="1:140" ht="13.5" customHeight="1" x14ac:dyDescent="0.2">
      <c r="A48" s="78" t="s">
        <v>81</v>
      </c>
      <c r="B48" s="78"/>
      <c r="C48" s="78"/>
      <c r="D48" s="155">
        <f t="shared" ref="D48:AI48" si="66">D37+D45+D46</f>
        <v>72.980999999999995</v>
      </c>
      <c r="E48" s="155">
        <f t="shared" si="66"/>
        <v>103.705</v>
      </c>
      <c r="F48" s="155">
        <f t="shared" si="66"/>
        <v>142.56799999999998</v>
      </c>
      <c r="G48" s="155">
        <f t="shared" si="66"/>
        <v>96.614000000000004</v>
      </c>
      <c r="H48" s="156">
        <f t="shared" si="66"/>
        <v>415.86800000000005</v>
      </c>
      <c r="I48" s="155">
        <f t="shared" si="66"/>
        <v>93.403999999999996</v>
      </c>
      <c r="J48" s="155">
        <f t="shared" si="66"/>
        <v>128.1</v>
      </c>
      <c r="K48" s="155">
        <f t="shared" si="66"/>
        <v>154.929</v>
      </c>
      <c r="L48" s="155">
        <f t="shared" si="66"/>
        <v>114.3</v>
      </c>
      <c r="M48" s="156">
        <f t="shared" si="66"/>
        <v>490.75000000000006</v>
      </c>
      <c r="N48" s="155">
        <f t="shared" si="66"/>
        <v>110.73499999999989</v>
      </c>
      <c r="O48" s="155">
        <f t="shared" si="66"/>
        <v>150.85900000000004</v>
      </c>
      <c r="P48" s="155">
        <f t="shared" si="66"/>
        <v>203.70000000000016</v>
      </c>
      <c r="Q48" s="155">
        <f t="shared" si="66"/>
        <v>115.60000000000004</v>
      </c>
      <c r="R48" s="156">
        <f t="shared" si="66"/>
        <v>580.90000000000009</v>
      </c>
      <c r="S48" s="155">
        <f t="shared" si="66"/>
        <v>116.70000000000006</v>
      </c>
      <c r="T48" s="155">
        <f t="shared" si="66"/>
        <v>165.49999999999997</v>
      </c>
      <c r="U48" s="155">
        <f t="shared" si="66"/>
        <v>217.99999999999986</v>
      </c>
      <c r="V48" s="155">
        <f t="shared" si="66"/>
        <v>126.29999999999981</v>
      </c>
      <c r="W48" s="156">
        <f t="shared" si="66"/>
        <v>626.59999999999968</v>
      </c>
      <c r="X48" s="155">
        <f t="shared" si="66"/>
        <v>78.600000000000065</v>
      </c>
      <c r="Y48" s="155">
        <f t="shared" si="66"/>
        <v>118.50000000000004</v>
      </c>
      <c r="Z48" s="155">
        <f t="shared" si="66"/>
        <v>192.89999999999995</v>
      </c>
      <c r="AA48" s="155">
        <f t="shared" si="66"/>
        <v>86.999999999999972</v>
      </c>
      <c r="AB48" s="156">
        <f t="shared" si="66"/>
        <v>476.99999999999983</v>
      </c>
      <c r="AC48" s="155">
        <f t="shared" si="66"/>
        <v>116.8000000000001</v>
      </c>
      <c r="AD48" s="155">
        <f t="shared" si="66"/>
        <v>139.60000000000002</v>
      </c>
      <c r="AE48" s="155">
        <f t="shared" si="66"/>
        <v>216.5</v>
      </c>
      <c r="AF48" s="155">
        <f t="shared" si="66"/>
        <v>78.600000000000023</v>
      </c>
      <c r="AG48" s="156">
        <f t="shared" si="66"/>
        <v>551.49999999999977</v>
      </c>
      <c r="AH48" s="155">
        <f t="shared" si="66"/>
        <v>119.30000000000003</v>
      </c>
      <c r="AI48" s="155">
        <f t="shared" si="66"/>
        <v>174.10000000000005</v>
      </c>
      <c r="AJ48" s="155">
        <f t="shared" ref="AJ48:BF48" si="67">AJ37+AJ45+AJ46</f>
        <v>186.29999999999995</v>
      </c>
      <c r="AK48" s="155">
        <f t="shared" si="67"/>
        <v>54.400000000000027</v>
      </c>
      <c r="AL48" s="156">
        <f t="shared" si="67"/>
        <v>534.1</v>
      </c>
      <c r="AM48" s="155">
        <f t="shared" si="67"/>
        <v>109.69999999999999</v>
      </c>
      <c r="AN48" s="155">
        <f t="shared" si="67"/>
        <v>166.7</v>
      </c>
      <c r="AO48" s="155">
        <f t="shared" si="67"/>
        <v>198.60000000000002</v>
      </c>
      <c r="AP48" s="155">
        <f t="shared" si="67"/>
        <v>107.79999999999998</v>
      </c>
      <c r="AQ48" s="156">
        <f t="shared" si="67"/>
        <v>582.79999999999995</v>
      </c>
      <c r="AR48" s="70">
        <f t="shared" si="67"/>
        <v>133.39999999999992</v>
      </c>
      <c r="AS48" s="70">
        <f t="shared" si="67"/>
        <v>170.10000000000002</v>
      </c>
      <c r="AT48" s="157">
        <f t="shared" si="67"/>
        <v>159.80000000000001</v>
      </c>
      <c r="AU48" s="155">
        <f t="shared" si="67"/>
        <v>124.19999999999999</v>
      </c>
      <c r="AV48" s="156">
        <f t="shared" si="67"/>
        <v>587.5</v>
      </c>
      <c r="AW48" s="155">
        <f t="shared" si="67"/>
        <v>119.49999999999996</v>
      </c>
      <c r="AX48" s="155">
        <f t="shared" si="67"/>
        <v>156.50000000000003</v>
      </c>
      <c r="AY48" s="155">
        <f t="shared" si="67"/>
        <v>164.19999999999996</v>
      </c>
      <c r="AZ48" s="155">
        <f t="shared" si="67"/>
        <v>123.49999999999997</v>
      </c>
      <c r="BA48" s="156">
        <f t="shared" si="67"/>
        <v>563.69999999999993</v>
      </c>
      <c r="BB48" s="155">
        <f t="shared" si="67"/>
        <v>115.49999999999996</v>
      </c>
      <c r="BC48" s="155">
        <f t="shared" si="67"/>
        <v>265.3</v>
      </c>
      <c r="BD48" s="155">
        <f t="shared" si="67"/>
        <v>303.39999999999998</v>
      </c>
      <c r="BE48" s="155">
        <f t="shared" si="67"/>
        <v>248.80000000000013</v>
      </c>
      <c r="BF48" s="156">
        <f t="shared" si="67"/>
        <v>933.00000000000023</v>
      </c>
      <c r="BG48" s="155">
        <f t="shared" ref="BG48:BN48" si="68">BG37+BG45+BG46</f>
        <v>318.70000000000005</v>
      </c>
      <c r="BH48" s="155">
        <f t="shared" si="68"/>
        <v>327.79999999999978</v>
      </c>
      <c r="BI48" s="155">
        <f t="shared" si="68"/>
        <v>350.50000000000006</v>
      </c>
      <c r="BJ48" s="155">
        <f t="shared" si="68"/>
        <v>269.8</v>
      </c>
      <c r="BK48" s="156">
        <f t="shared" si="68"/>
        <v>1266.8</v>
      </c>
      <c r="BL48" s="155">
        <f t="shared" si="68"/>
        <v>377.69999999999993</v>
      </c>
      <c r="BM48" s="155">
        <f t="shared" si="68"/>
        <v>423.80000000000018</v>
      </c>
      <c r="BN48" s="155">
        <f t="shared" si="68"/>
        <v>427.5</v>
      </c>
      <c r="BO48" s="155">
        <f>BO37+BO45+BO46</f>
        <v>349.30000000000007</v>
      </c>
      <c r="BP48" s="156">
        <f t="shared" ref="BP48" si="69">BP37+BP45+BP46</f>
        <v>1578.2999999999997</v>
      </c>
      <c r="BQ48" s="155">
        <f t="shared" ref="BQ48:BT48" si="70">BQ37+BQ45+BQ46</f>
        <v>464.79999999999995</v>
      </c>
      <c r="BR48" s="155">
        <f t="shared" si="70"/>
        <v>526.1</v>
      </c>
      <c r="BS48" s="155">
        <f t="shared" si="70"/>
        <v>481.5</v>
      </c>
      <c r="BT48" s="155">
        <f t="shared" si="70"/>
        <v>418.60000000000008</v>
      </c>
      <c r="BU48" s="156">
        <f t="shared" ref="BU48:BZ48" si="71">BU37+BU45+BU46</f>
        <v>1891.0000000000002</v>
      </c>
      <c r="BV48" s="155">
        <f t="shared" si="71"/>
        <v>586.79999999999995</v>
      </c>
      <c r="BW48" s="155">
        <f t="shared" si="71"/>
        <v>628.70000000000027</v>
      </c>
      <c r="BX48" s="155">
        <f t="shared" si="71"/>
        <v>500.9</v>
      </c>
      <c r="BY48" s="155">
        <f t="shared" si="71"/>
        <v>459.4000000000002</v>
      </c>
      <c r="BZ48" s="156">
        <f t="shared" si="71"/>
        <v>2175.8000000000002</v>
      </c>
      <c r="CA48" s="155">
        <f t="shared" ref="CA48:CY48" ca="1" si="72">CA37+CA45+CA46</f>
        <v>614.72803205905416</v>
      </c>
      <c r="CB48" s="155">
        <f t="shared" ca="1" si="72"/>
        <v>694.15239566394121</v>
      </c>
      <c r="CC48" s="155">
        <f t="shared" ca="1" si="72"/>
        <v>575.80371406769837</v>
      </c>
      <c r="CD48" s="155">
        <f t="shared" ca="1" si="72"/>
        <v>512.58667244702951</v>
      </c>
      <c r="CE48" s="156">
        <f t="shared" ca="1" si="72"/>
        <v>2397.2708142377223</v>
      </c>
      <c r="CF48" s="155">
        <f t="shared" ca="1" si="72"/>
        <v>679.4385319413235</v>
      </c>
      <c r="CG48" s="155">
        <f t="shared" ca="1" si="72"/>
        <v>765.79772790246932</v>
      </c>
      <c r="CH48" s="155">
        <f t="shared" ca="1" si="72"/>
        <v>632.16912392573886</v>
      </c>
      <c r="CI48" s="155">
        <f t="shared" ca="1" si="72"/>
        <v>563.118186906917</v>
      </c>
      <c r="CJ48" s="156">
        <f t="shared" ca="1" si="72"/>
        <v>2640.5235706764488</v>
      </c>
      <c r="CK48" s="155">
        <f t="shared" ca="1" si="72"/>
        <v>728.94317623077291</v>
      </c>
      <c r="CL48" s="155">
        <f t="shared" ca="1" si="72"/>
        <v>822.39052329263541</v>
      </c>
      <c r="CM48" s="155">
        <f t="shared" ca="1" si="72"/>
        <v>676.98185049010237</v>
      </c>
      <c r="CN48" s="155">
        <f t="shared" ca="1" si="72"/>
        <v>605.94996344535309</v>
      </c>
      <c r="CO48" s="156">
        <f t="shared" ca="1" si="72"/>
        <v>2834.265513458864</v>
      </c>
      <c r="CP48" s="155">
        <f t="shared" ca="1" si="72"/>
        <v>781.19206169577501</v>
      </c>
      <c r="CQ48" s="155">
        <f t="shared" ca="1" si="72"/>
        <v>881.14074995626254</v>
      </c>
      <c r="CR48" s="155">
        <f t="shared" ca="1" si="72"/>
        <v>724.13639997179007</v>
      </c>
      <c r="CS48" s="155">
        <f t="shared" ca="1" si="72"/>
        <v>650.83531182187187</v>
      </c>
      <c r="CT48" s="156">
        <f t="shared" ca="1" si="72"/>
        <v>3037.3045234457013</v>
      </c>
      <c r="CU48" s="155">
        <f t="shared" ca="1" si="72"/>
        <v>832.76850929212731</v>
      </c>
      <c r="CV48" s="155">
        <f t="shared" ca="1" si="72"/>
        <v>938.3588239256012</v>
      </c>
      <c r="CW48" s="155">
        <f t="shared" ca="1" si="72"/>
        <v>769.9267986466632</v>
      </c>
      <c r="CX48" s="155">
        <f t="shared" ca="1" si="72"/>
        <v>693.87643283348598</v>
      </c>
      <c r="CY48" s="156">
        <f t="shared" ca="1" si="72"/>
        <v>3234.9305646978769</v>
      </c>
      <c r="CZ48" s="157"/>
      <c r="DA48" s="792"/>
      <c r="DB48" s="741"/>
      <c r="DC48" s="741"/>
      <c r="DD48" s="748"/>
      <c r="DE48" s="772"/>
      <c r="DF48" s="7"/>
      <c r="DG48" s="741"/>
      <c r="DH48" s="741"/>
      <c r="DI48" s="773"/>
      <c r="DJ48" s="733"/>
      <c r="DK48" s="733"/>
      <c r="DL48" s="733"/>
      <c r="DM48" s="733"/>
      <c r="DN48" s="733"/>
      <c r="DU48" s="78"/>
      <c r="DV48" s="89"/>
      <c r="DW48" s="739"/>
      <c r="DX48" s="739"/>
      <c r="DY48" s="739"/>
      <c r="DZ48" s="739"/>
      <c r="EA48" s="739"/>
    </row>
    <row r="49" spans="1:141" ht="13.5" customHeight="1" x14ac:dyDescent="0.2">
      <c r="A49" s="48"/>
      <c r="B49" s="48"/>
      <c r="C49" s="48"/>
      <c r="D49" s="56"/>
      <c r="E49" s="56"/>
      <c r="F49" s="56"/>
      <c r="G49" s="56"/>
      <c r="H49" s="101"/>
      <c r="I49" s="56"/>
      <c r="J49" s="56"/>
      <c r="K49" s="56"/>
      <c r="L49" s="56"/>
      <c r="M49" s="101"/>
      <c r="N49" s="56"/>
      <c r="O49" s="56"/>
      <c r="P49" s="56"/>
      <c r="Q49" s="56"/>
      <c r="R49" s="101"/>
      <c r="S49" s="56"/>
      <c r="T49" s="56"/>
      <c r="U49" s="56"/>
      <c r="V49" s="56"/>
      <c r="W49" s="101"/>
      <c r="X49" s="56"/>
      <c r="Y49" s="56"/>
      <c r="Z49" s="56"/>
      <c r="AA49" s="56"/>
      <c r="AB49" s="101"/>
      <c r="AC49" s="56"/>
      <c r="AD49" s="56"/>
      <c r="AE49" s="56"/>
      <c r="AF49" s="56"/>
      <c r="AG49" s="101"/>
      <c r="AH49" s="56"/>
      <c r="AI49" s="56"/>
      <c r="AJ49" s="56"/>
      <c r="AK49" s="56"/>
      <c r="AL49" s="101"/>
      <c r="AM49" s="56"/>
      <c r="AN49" s="56"/>
      <c r="AO49" s="56"/>
      <c r="AP49" s="56"/>
      <c r="AQ49" s="101"/>
      <c r="AR49" s="63"/>
      <c r="AS49" s="56"/>
      <c r="AT49" s="103"/>
      <c r="AU49" s="56"/>
      <c r="AV49" s="101"/>
      <c r="AW49" s="56"/>
      <c r="AX49" s="56"/>
      <c r="AY49" s="56"/>
      <c r="AZ49" s="56"/>
      <c r="BA49" s="101"/>
      <c r="BB49" s="56"/>
      <c r="BC49" s="56"/>
      <c r="BD49" s="56"/>
      <c r="BE49" s="56"/>
      <c r="BF49" s="101"/>
      <c r="BG49" s="56"/>
      <c r="BH49" s="56"/>
      <c r="BI49" s="56"/>
      <c r="BJ49" s="56"/>
      <c r="BK49" s="543"/>
      <c r="BL49" s="56"/>
      <c r="BM49" s="400"/>
      <c r="BN49" s="544"/>
      <c r="BO49" s="56"/>
      <c r="BP49" s="543"/>
      <c r="BQ49" s="56"/>
      <c r="BR49" s="88"/>
      <c r="BS49" s="56"/>
      <c r="BT49" s="56"/>
      <c r="BU49" s="234">
        <f>+BU48/BU5</f>
        <v>0.25792811839323471</v>
      </c>
      <c r="BV49" s="56"/>
      <c r="BW49" s="56"/>
      <c r="BX49" s="56"/>
      <c r="BY49" s="56"/>
      <c r="BZ49" s="553"/>
      <c r="CA49" s="56"/>
      <c r="CB49" s="56"/>
      <c r="CC49" s="56"/>
      <c r="CD49" s="56"/>
      <c r="CE49" s="101"/>
      <c r="CF49" s="56"/>
      <c r="CG49" s="56"/>
      <c r="CH49" s="56"/>
      <c r="CI49" s="56"/>
      <c r="CJ49" s="101"/>
      <c r="CK49" s="56"/>
      <c r="CL49" s="56"/>
      <c r="CM49" s="56"/>
      <c r="CN49" s="56"/>
      <c r="CO49" s="101"/>
      <c r="CP49" s="56"/>
      <c r="CQ49" s="56"/>
      <c r="CR49" s="56"/>
      <c r="CS49" s="56"/>
      <c r="CT49" s="101"/>
      <c r="CU49" s="56"/>
      <c r="CV49" s="56"/>
      <c r="CW49" s="56"/>
      <c r="CX49" s="56"/>
      <c r="CY49" s="101"/>
      <c r="CZ49" s="103"/>
      <c r="DB49" s="9"/>
      <c r="DC49" s="9"/>
      <c r="DG49" s="732"/>
      <c r="DH49" s="9"/>
      <c r="DI49" s="730"/>
      <c r="DJ49" s="730"/>
      <c r="DK49" s="730"/>
      <c r="DL49" s="730"/>
      <c r="DM49" s="730"/>
      <c r="DN49" s="730"/>
      <c r="DU49" s="48"/>
      <c r="DV49" s="48"/>
      <c r="DW49" s="730"/>
      <c r="DX49" s="730"/>
      <c r="DY49" s="730"/>
      <c r="DZ49" s="730"/>
      <c r="EA49" s="730"/>
      <c r="EC49" s="720"/>
      <c r="ED49" s="720"/>
      <c r="EE49" s="720"/>
    </row>
    <row r="50" spans="1:141" ht="13.5" customHeight="1" x14ac:dyDescent="0.2">
      <c r="A50" s="48" t="s">
        <v>82</v>
      </c>
      <c r="B50" s="48"/>
      <c r="C50" s="48"/>
      <c r="D50" s="104">
        <f t="shared" ref="D50:M50" si="73">+D58-D48</f>
        <v>-25.890999999999991</v>
      </c>
      <c r="E50" s="104">
        <f t="shared" si="73"/>
        <v>-37.334000000000003</v>
      </c>
      <c r="F50" s="104">
        <f t="shared" si="73"/>
        <v>-51.323999999999984</v>
      </c>
      <c r="G50" s="104">
        <f t="shared" si="73"/>
        <v>-34.784000000000006</v>
      </c>
      <c r="H50" s="141">
        <f t="shared" si="73"/>
        <v>-149.33100000000007</v>
      </c>
      <c r="I50" s="104">
        <f t="shared" si="73"/>
        <v>-33.613</v>
      </c>
      <c r="J50" s="104">
        <f t="shared" si="73"/>
        <v>-46.116</v>
      </c>
      <c r="K50" s="104">
        <f t="shared" si="73"/>
        <v>-55.774000000000001</v>
      </c>
      <c r="L50" s="104">
        <f t="shared" si="73"/>
        <v>-41.099999999999994</v>
      </c>
      <c r="M50" s="105">
        <f t="shared" si="73"/>
        <v>-176.65000000000003</v>
      </c>
      <c r="N50" s="104">
        <v>-39.5</v>
      </c>
      <c r="O50" s="104">
        <v>-52.8</v>
      </c>
      <c r="P50" s="104">
        <v>-80.099999999999994</v>
      </c>
      <c r="Q50" s="104">
        <v>-28.7</v>
      </c>
      <c r="R50" s="105">
        <v>-201.1</v>
      </c>
      <c r="S50" s="104">
        <v>-42</v>
      </c>
      <c r="T50" s="104">
        <v>-61</v>
      </c>
      <c r="U50" s="104">
        <v>-78.8</v>
      </c>
      <c r="V50" s="104">
        <v>-41.5</v>
      </c>
      <c r="W50" s="105">
        <v>-223.3</v>
      </c>
      <c r="X50" s="104">
        <v>-30.1</v>
      </c>
      <c r="Y50" s="104">
        <v>-41.2</v>
      </c>
      <c r="Z50" s="104">
        <v>-71.5</v>
      </c>
      <c r="AA50" s="104">
        <v>-13.2</v>
      </c>
      <c r="AB50" s="105">
        <v>-156</v>
      </c>
      <c r="AC50" s="104">
        <v>-43.2</v>
      </c>
      <c r="AD50" s="104">
        <v>-40.6</v>
      </c>
      <c r="AE50" s="104">
        <f>+AG50-AF50-AC50-AD50</f>
        <v>-84.499999999999972</v>
      </c>
      <c r="AF50" s="104">
        <v>-31.9</v>
      </c>
      <c r="AG50" s="105">
        <v>-200.2</v>
      </c>
      <c r="AH50" s="104">
        <v>-46.6</v>
      </c>
      <c r="AI50" s="104">
        <v>-54.1</v>
      </c>
      <c r="AJ50" s="104">
        <v>-65.900000000000006</v>
      </c>
      <c r="AK50" s="104">
        <f>-AK52*AK48</f>
        <v>-19.58400000000001</v>
      </c>
      <c r="AL50" s="105">
        <f>+AH50+AI50+AJ50+AK50</f>
        <v>-186.18400000000003</v>
      </c>
      <c r="AM50" s="104">
        <f>-AM52*AM48</f>
        <v>-26.766799999999996</v>
      </c>
      <c r="AN50" s="104">
        <f>-AN52*AN48</f>
        <v>-57.600000000000009</v>
      </c>
      <c r="AO50" s="104">
        <f>-AO52*AO48</f>
        <v>-57.100000000000009</v>
      </c>
      <c r="AP50" s="104">
        <f>-AP52*AP48</f>
        <v>-33.299999999999997</v>
      </c>
      <c r="AQ50" s="105">
        <f>+AM50+AN50+AO50+AP50</f>
        <v>-174.76680000000005</v>
      </c>
      <c r="AR50" s="108">
        <f>-AR52*AR48</f>
        <v>-49.299999999999969</v>
      </c>
      <c r="AS50" s="108">
        <f>-AS52*AS48</f>
        <v>-5.3000000000000007</v>
      </c>
      <c r="AT50" s="106">
        <v>-59</v>
      </c>
      <c r="AU50" s="104">
        <v>13.9</v>
      </c>
      <c r="AV50" s="105">
        <f>+AR50+AS50+AT50+AU50</f>
        <v>-99.69999999999996</v>
      </c>
      <c r="AW50" s="104">
        <f>-AW52*AW48</f>
        <v>-43.499999999999986</v>
      </c>
      <c r="AX50" s="104">
        <f>-AX52*AX48</f>
        <v>-25.500000000000007</v>
      </c>
      <c r="AY50" s="104">
        <f>-AY52*AY48</f>
        <v>-45.599999999999994</v>
      </c>
      <c r="AZ50" s="104">
        <f>-AZ52*AZ48</f>
        <v>-33.199999999999996</v>
      </c>
      <c r="BA50" s="105">
        <f>+AW50+AX50+AY50+AZ50</f>
        <v>-147.79999999999998</v>
      </c>
      <c r="BB50" s="104">
        <f>-29.4-12.4</f>
        <v>-41.8</v>
      </c>
      <c r="BC50" s="104">
        <f>-65.4-11.2</f>
        <v>-76.600000000000009</v>
      </c>
      <c r="BD50" s="104">
        <f>-81.2-5</f>
        <v>-86.2</v>
      </c>
      <c r="BE50" s="104">
        <f>-83.2-3.5</f>
        <v>-86.7</v>
      </c>
      <c r="BF50" s="105">
        <f>+BB50+BC50+BD50+BE50</f>
        <v>-291.3</v>
      </c>
      <c r="BG50" s="104">
        <f>-99.6-3.9</f>
        <v>-103.5</v>
      </c>
      <c r="BH50" s="104">
        <f>-92.9-12.9</f>
        <v>-105.80000000000001</v>
      </c>
      <c r="BI50" s="104">
        <f>-88.6-13.6</f>
        <v>-102.19999999999999</v>
      </c>
      <c r="BJ50" s="104">
        <f>-62.3-0.2</f>
        <v>-62.5</v>
      </c>
      <c r="BK50" s="105">
        <f>+BG50+BH50+BI50+BJ50</f>
        <v>-374</v>
      </c>
      <c r="BL50" s="104">
        <f>-110.6-9.5</f>
        <v>-120.1</v>
      </c>
      <c r="BM50" s="104">
        <f>-97.1-7.3</f>
        <v>-104.39999999999999</v>
      </c>
      <c r="BN50" s="104">
        <f>-128-9.9</f>
        <v>-137.9</v>
      </c>
      <c r="BO50" s="104">
        <f>-104.9+0.9</f>
        <v>-104</v>
      </c>
      <c r="BP50" s="105">
        <f>+BL50+BM50+BN50+BO50</f>
        <v>-466.4</v>
      </c>
      <c r="BQ50" s="104">
        <f>-149.7+2.7</f>
        <v>-147</v>
      </c>
      <c r="BR50" s="104">
        <f>-163.6-3.8</f>
        <v>-167.4</v>
      </c>
      <c r="BS50" s="104">
        <f>-78.9-0.2</f>
        <v>-79.100000000000009</v>
      </c>
      <c r="BT50" s="104">
        <f>-162+49.3</f>
        <v>-112.7</v>
      </c>
      <c r="BU50" s="105">
        <f>+BQ50+BR50+BS50+BT50</f>
        <v>-506.2</v>
      </c>
      <c r="BV50" s="104">
        <f>-74.1-39.7</f>
        <v>-113.8</v>
      </c>
      <c r="BW50" s="104">
        <f>-128.7-0.4</f>
        <v>-129.1</v>
      </c>
      <c r="BX50" s="104">
        <f>-149.5+54.8</f>
        <v>-94.7</v>
      </c>
      <c r="BY50" s="104">
        <f>340.4-417.1</f>
        <v>-76.700000000000045</v>
      </c>
      <c r="BZ50" s="105">
        <f>+SUM(BV50:BY50)</f>
        <v>-414.3</v>
      </c>
      <c r="CA50" s="104">
        <f ca="1">-CA52*CA48</f>
        <v>-116.79832609122029</v>
      </c>
      <c r="CB50" s="104">
        <f ca="1">-CB52*CB48</f>
        <v>-131.88895517614884</v>
      </c>
      <c r="CC50" s="104">
        <f ca="1">-CC52*CC48</f>
        <v>-109.40270567286269</v>
      </c>
      <c r="CD50" s="104">
        <f ca="1">CE50-SUM(CA50:CC50)</f>
        <v>-97.391467764935442</v>
      </c>
      <c r="CE50" s="105">
        <f ca="1">-CE52*CE48</f>
        <v>-455.48145470516727</v>
      </c>
      <c r="CF50" s="104">
        <f ca="1">-CF52*CF48</f>
        <v>-129.09332106885148</v>
      </c>
      <c r="CG50" s="104">
        <f ca="1">-CG52*CG48</f>
        <v>-145.50156830146918</v>
      </c>
      <c r="CH50" s="104">
        <f ca="1">-CH52*CH48</f>
        <v>-120.11213354589039</v>
      </c>
      <c r="CI50" s="104">
        <f ca="1">CJ50-SUM(CF50:CH50)</f>
        <v>-106.99245551231422</v>
      </c>
      <c r="CJ50" s="105">
        <f ca="1">-CJ52*CJ48</f>
        <v>-501.69947842852525</v>
      </c>
      <c r="CK50" s="104">
        <f ca="1">-CK52*CK48</f>
        <v>-138.49920348384686</v>
      </c>
      <c r="CL50" s="104">
        <f ca="1">-CL52*CL48</f>
        <v>-156.25419942560072</v>
      </c>
      <c r="CM50" s="104">
        <f ca="1">-CM52*CM48</f>
        <v>-128.62655159311944</v>
      </c>
      <c r="CN50" s="104">
        <f ca="1">CO50-SUM(CK50:CM50)</f>
        <v>-115.1304930546172</v>
      </c>
      <c r="CO50" s="105">
        <f ca="1">-CO52*CO48</f>
        <v>-538.51044755718419</v>
      </c>
      <c r="CP50" s="104">
        <f ca="1">-CP52*CP48</f>
        <v>-148.42649172219726</v>
      </c>
      <c r="CQ50" s="104">
        <f ca="1">-CQ52*CQ48</f>
        <v>-167.41674249168989</v>
      </c>
      <c r="CR50" s="104">
        <f ca="1">-CR52*CR48</f>
        <v>-137.58591599464012</v>
      </c>
      <c r="CS50" s="104">
        <f ca="1">CT50-SUM(CP50:CR50)</f>
        <v>-123.65870924615592</v>
      </c>
      <c r="CT50" s="105">
        <f ca="1">-CT52*CT48</f>
        <v>-577.08785945468321</v>
      </c>
      <c r="CU50" s="104">
        <f ca="1">-CU52*CU48</f>
        <v>-158.2260167655042</v>
      </c>
      <c r="CV50" s="104">
        <f ca="1">-CV52*CV48</f>
        <v>-178.28817654586422</v>
      </c>
      <c r="CW50" s="104">
        <f ca="1">-CW52*CW48</f>
        <v>-146.28609174286601</v>
      </c>
      <c r="CX50" s="104">
        <f ca="1">CY50-SUM(CU50:CW50)</f>
        <v>-131.83652223836214</v>
      </c>
      <c r="CY50" s="105">
        <f ca="1">-CY52*CY48</f>
        <v>-614.63680729259659</v>
      </c>
      <c r="CZ50" s="106"/>
      <c r="DA50" s="490"/>
      <c r="DB50" s="308"/>
      <c r="DC50" s="308"/>
      <c r="DD50" s="748"/>
      <c r="DF50" s="804"/>
      <c r="DG50" s="308"/>
      <c r="DH50" s="308"/>
      <c r="DI50" s="773"/>
      <c r="DJ50" s="730"/>
      <c r="DK50" s="730"/>
      <c r="DL50" s="730"/>
      <c r="DM50" s="730"/>
      <c r="DN50" s="730"/>
      <c r="DU50" s="48"/>
      <c r="DV50" s="89"/>
      <c r="DW50" s="739"/>
      <c r="DX50" s="739"/>
      <c r="DY50" s="739"/>
      <c r="DZ50" s="739"/>
      <c r="EA50" s="739"/>
      <c r="EG50" s="377"/>
    </row>
    <row r="51" spans="1:141" ht="13.5" customHeight="1" x14ac:dyDescent="0.2">
      <c r="A51" s="48"/>
      <c r="B51" s="48"/>
      <c r="C51" s="48"/>
      <c r="D51" s="104"/>
      <c r="E51" s="104"/>
      <c r="F51" s="104"/>
      <c r="G51" s="104"/>
      <c r="H51" s="105"/>
      <c r="I51" s="104"/>
      <c r="J51" s="104"/>
      <c r="K51" s="104"/>
      <c r="L51" s="104"/>
      <c r="M51" s="105"/>
      <c r="N51" s="104"/>
      <c r="O51" s="104"/>
      <c r="P51" s="104"/>
      <c r="Q51" s="104"/>
      <c r="R51" s="105"/>
      <c r="S51" s="104"/>
      <c r="T51" s="104"/>
      <c r="U51" s="104"/>
      <c r="V51" s="104"/>
      <c r="W51" s="105"/>
      <c r="X51" s="104"/>
      <c r="Y51" s="104"/>
      <c r="Z51" s="104"/>
      <c r="AA51" s="104"/>
      <c r="AB51" s="105"/>
      <c r="AC51" s="104"/>
      <c r="AD51" s="104"/>
      <c r="AE51" s="104"/>
      <c r="AF51" s="104"/>
      <c r="AG51" s="105"/>
      <c r="AH51" s="104"/>
      <c r="AI51" s="104"/>
      <c r="AJ51" s="104"/>
      <c r="AK51" s="104"/>
      <c r="AL51" s="105"/>
      <c r="AM51" s="104"/>
      <c r="AN51" s="104"/>
      <c r="AO51" s="104"/>
      <c r="AP51" s="104"/>
      <c r="AQ51" s="105"/>
      <c r="AR51" s="108"/>
      <c r="AS51" s="104"/>
      <c r="AT51" s="106"/>
      <c r="AU51" s="104"/>
      <c r="AV51" s="105"/>
      <c r="AW51" s="104"/>
      <c r="AX51" s="104"/>
      <c r="AY51" s="104"/>
      <c r="AZ51" s="104"/>
      <c r="BA51" s="105"/>
      <c r="BB51" s="104"/>
      <c r="BC51" s="104"/>
      <c r="BD51" s="104"/>
      <c r="BE51" s="104"/>
      <c r="BF51" s="105"/>
      <c r="BG51" s="104"/>
      <c r="BH51" s="104"/>
      <c r="BI51" s="104"/>
      <c r="BJ51" s="104"/>
      <c r="BK51" s="105"/>
      <c r="BL51" s="104"/>
      <c r="BM51" s="104"/>
      <c r="BN51" s="104"/>
      <c r="BO51" s="104"/>
      <c r="BP51" s="105"/>
      <c r="BQ51" s="104"/>
      <c r="BR51" s="104"/>
      <c r="BS51" s="104"/>
      <c r="BT51" s="104"/>
      <c r="BU51" s="105"/>
      <c r="BV51" s="104"/>
      <c r="BW51" s="104"/>
      <c r="BX51" s="104"/>
      <c r="BY51" s="104"/>
      <c r="BZ51" s="105"/>
      <c r="CA51" s="104"/>
      <c r="CB51" s="104"/>
      <c r="CC51" s="104"/>
      <c r="CD51" s="104"/>
      <c r="CE51" s="105"/>
      <c r="CF51" s="104"/>
      <c r="CG51" s="104"/>
      <c r="CH51" s="104"/>
      <c r="CI51" s="104"/>
      <c r="CJ51" s="105"/>
      <c r="CK51" s="104"/>
      <c r="CL51" s="104"/>
      <c r="CM51" s="104"/>
      <c r="CN51" s="104"/>
      <c r="CO51" s="105"/>
      <c r="CP51" s="104"/>
      <c r="CQ51" s="104"/>
      <c r="CR51" s="104"/>
      <c r="CS51" s="104"/>
      <c r="CT51" s="105"/>
      <c r="CU51" s="104"/>
      <c r="CV51" s="104"/>
      <c r="CW51" s="104"/>
      <c r="CX51" s="104"/>
      <c r="CY51" s="105"/>
      <c r="CZ51" s="106"/>
      <c r="DB51" s="308"/>
      <c r="DC51" s="308"/>
      <c r="DF51" s="7"/>
      <c r="DG51" s="308"/>
      <c r="DH51" s="308"/>
      <c r="DI51" s="730"/>
      <c r="DJ51" s="730"/>
      <c r="DK51" s="730"/>
      <c r="DL51" s="730"/>
      <c r="DM51" s="730"/>
      <c r="DN51" s="730"/>
      <c r="DU51" s="48"/>
      <c r="DV51" s="48"/>
      <c r="DW51" s="730"/>
      <c r="DX51" s="730"/>
      <c r="DY51" s="730"/>
      <c r="DZ51" s="730"/>
      <c r="EA51" s="730"/>
      <c r="EH51" s="564"/>
      <c r="EI51" s="564"/>
      <c r="EJ51" s="564"/>
    </row>
    <row r="52" spans="1:141" ht="13.5" customHeight="1" x14ac:dyDescent="0.2">
      <c r="A52" s="48"/>
      <c r="B52" s="48" t="s">
        <v>83</v>
      </c>
      <c r="C52" s="48"/>
      <c r="D52" s="95">
        <f t="shared" ref="D52:AJ52" si="74">-D50/D48</f>
        <v>0.35476356860004649</v>
      </c>
      <c r="E52" s="95">
        <f t="shared" si="74"/>
        <v>0.36000192854732177</v>
      </c>
      <c r="F52" s="95">
        <f t="shared" si="74"/>
        <v>0.35999663318556752</v>
      </c>
      <c r="G52" s="95">
        <f t="shared" si="74"/>
        <v>0.36003063738174595</v>
      </c>
      <c r="H52" s="96">
        <f t="shared" si="74"/>
        <v>0.35908268969961638</v>
      </c>
      <c r="I52" s="95">
        <f t="shared" si="74"/>
        <v>0.35986681512569058</v>
      </c>
      <c r="J52" s="95">
        <f t="shared" si="74"/>
        <v>0.36</v>
      </c>
      <c r="K52" s="95">
        <f t="shared" si="74"/>
        <v>0.35999715998941451</v>
      </c>
      <c r="L52" s="95">
        <f t="shared" si="74"/>
        <v>0.35958005249343827</v>
      </c>
      <c r="M52" s="96">
        <f t="shared" si="74"/>
        <v>0.35995924605196133</v>
      </c>
      <c r="N52" s="95">
        <f t="shared" si="74"/>
        <v>0.3567074547342759</v>
      </c>
      <c r="O52" s="95">
        <f t="shared" si="74"/>
        <v>0.3499956913409209</v>
      </c>
      <c r="P52" s="95">
        <f t="shared" si="74"/>
        <v>0.39322533136966092</v>
      </c>
      <c r="Q52" s="95">
        <f t="shared" si="74"/>
        <v>0.24826989619377154</v>
      </c>
      <c r="R52" s="96">
        <f t="shared" si="74"/>
        <v>0.34618695128249261</v>
      </c>
      <c r="S52" s="95">
        <f t="shared" si="74"/>
        <v>0.35989717223650369</v>
      </c>
      <c r="T52" s="95">
        <f t="shared" si="74"/>
        <v>0.36858006042296076</v>
      </c>
      <c r="U52" s="95">
        <f t="shared" si="74"/>
        <v>0.36146788990825712</v>
      </c>
      <c r="V52" s="95">
        <f t="shared" si="74"/>
        <v>0.32858273950910577</v>
      </c>
      <c r="W52" s="96">
        <f t="shared" si="74"/>
        <v>0.35636769869135032</v>
      </c>
      <c r="X52" s="95">
        <f t="shared" si="74"/>
        <v>0.38295165394402003</v>
      </c>
      <c r="Y52" s="95">
        <f t="shared" si="74"/>
        <v>0.34767932489451464</v>
      </c>
      <c r="Z52" s="95">
        <f t="shared" si="74"/>
        <v>0.37065837221358228</v>
      </c>
      <c r="AA52" s="95">
        <f t="shared" si="74"/>
        <v>0.15172413793103454</v>
      </c>
      <c r="AB52" s="96">
        <f t="shared" si="74"/>
        <v>0.3270440251572328</v>
      </c>
      <c r="AC52" s="95">
        <f t="shared" si="74"/>
        <v>0.36986301369862984</v>
      </c>
      <c r="AD52" s="95">
        <f t="shared" si="74"/>
        <v>0.29083094555873923</v>
      </c>
      <c r="AE52" s="95">
        <f t="shared" si="74"/>
        <v>0.3903002309468821</v>
      </c>
      <c r="AF52" s="95">
        <f t="shared" si="74"/>
        <v>0.40585241730279886</v>
      </c>
      <c r="AG52" s="96">
        <f t="shared" si="74"/>
        <v>0.3630099728014507</v>
      </c>
      <c r="AH52" s="95">
        <f t="shared" si="74"/>
        <v>0.39061190276613572</v>
      </c>
      <c r="AI52" s="95">
        <f t="shared" si="74"/>
        <v>0.31074095347501429</v>
      </c>
      <c r="AJ52" s="95">
        <f t="shared" si="74"/>
        <v>0.35373054213633937</v>
      </c>
      <c r="AK52" s="94">
        <v>0.36</v>
      </c>
      <c r="AL52" s="96">
        <f>-AL50/AL48</f>
        <v>0.34859389627410603</v>
      </c>
      <c r="AM52" s="95">
        <v>0.24399999999999999</v>
      </c>
      <c r="AN52" s="95">
        <f>57.6/AN48</f>
        <v>0.34553089382123581</v>
      </c>
      <c r="AO52" s="131">
        <f>57.1/198.6</f>
        <v>0.28751258811681774</v>
      </c>
      <c r="AP52" s="131">
        <f>33.3/107.8</f>
        <v>0.30890538033395176</v>
      </c>
      <c r="AQ52" s="96">
        <f>-AQ50/AQ48</f>
        <v>0.29987439945092664</v>
      </c>
      <c r="AR52" s="95">
        <f>49.3/133.4</f>
        <v>0.36956521739130432</v>
      </c>
      <c r="AS52" s="95">
        <f>5.3/170.1</f>
        <v>3.115814226925338E-2</v>
      </c>
      <c r="AT52" s="92">
        <f>-AT50/AT48</f>
        <v>0.36921151439299121</v>
      </c>
      <c r="AU52" s="95" t="s">
        <v>191</v>
      </c>
      <c r="AV52" s="96">
        <f>-AV50/AV48</f>
        <v>0.1697021276595744</v>
      </c>
      <c r="AW52" s="95">
        <f>-(-41.2-2.3)/119.5</f>
        <v>0.36401673640167365</v>
      </c>
      <c r="AX52" s="95">
        <f>(21.9+3.6)/156.5</f>
        <v>0.16293929712460065</v>
      </c>
      <c r="AY52" s="95">
        <f>(40.4+5.2)/164.2</f>
        <v>0.27771010962241172</v>
      </c>
      <c r="AZ52" s="95">
        <f>(25.1+8.1)/123.5</f>
        <v>0.26882591093117414</v>
      </c>
      <c r="BA52" s="96">
        <f t="shared" ref="BA52:BF52" si="75">-BA50/BA48</f>
        <v>0.26219620365442614</v>
      </c>
      <c r="BB52" s="95">
        <f t="shared" si="75"/>
        <v>0.36190476190476201</v>
      </c>
      <c r="BC52" s="95">
        <f t="shared" si="75"/>
        <v>0.28872973991707501</v>
      </c>
      <c r="BD52" s="95">
        <f t="shared" si="75"/>
        <v>0.28411338167435729</v>
      </c>
      <c r="BE52" s="95">
        <f t="shared" si="75"/>
        <v>0.34847266881028921</v>
      </c>
      <c r="BF52" s="96">
        <f t="shared" si="75"/>
        <v>0.3122186495176848</v>
      </c>
      <c r="BG52" s="95">
        <f t="shared" ref="BG52:BN52" si="76">-BG50/BG48</f>
        <v>0.32475682459993721</v>
      </c>
      <c r="BH52" s="95">
        <f t="shared" si="76"/>
        <v>0.32275777913361831</v>
      </c>
      <c r="BI52" s="95">
        <f t="shared" si="76"/>
        <v>0.29158345221112686</v>
      </c>
      <c r="BJ52" s="95">
        <f t="shared" si="76"/>
        <v>0.23165307635285395</v>
      </c>
      <c r="BK52" s="96">
        <f t="shared" si="76"/>
        <v>0.29523208083359648</v>
      </c>
      <c r="BL52" s="95">
        <f t="shared" si="76"/>
        <v>0.31797723060630134</v>
      </c>
      <c r="BM52" s="95">
        <f t="shared" si="76"/>
        <v>0.24634261444077382</v>
      </c>
      <c r="BN52" s="95">
        <f t="shared" si="76"/>
        <v>0.32257309941520468</v>
      </c>
      <c r="BO52" s="95">
        <f t="shared" ref="BO52:BT52" si="77">-BO50/BO48</f>
        <v>0.29773833381047804</v>
      </c>
      <c r="BP52" s="559">
        <f t="shared" si="77"/>
        <v>0.29550782487486538</v>
      </c>
      <c r="BQ52" s="95">
        <f t="shared" si="77"/>
        <v>0.3162650602409639</v>
      </c>
      <c r="BR52" s="95">
        <f t="shared" si="77"/>
        <v>0.31819045808781599</v>
      </c>
      <c r="BS52" s="95">
        <f t="shared" si="77"/>
        <v>0.16427829698857738</v>
      </c>
      <c r="BT52" s="131">
        <f t="shared" si="77"/>
        <v>0.26923076923076916</v>
      </c>
      <c r="BU52" s="559">
        <f t="shared" ref="BU52:BZ52" si="78">-BU50/BU48</f>
        <v>0.26768905341089366</v>
      </c>
      <c r="BV52" s="131">
        <f t="shared" si="78"/>
        <v>0.19393319700068168</v>
      </c>
      <c r="BW52" s="131">
        <f t="shared" si="78"/>
        <v>0.20534436138062659</v>
      </c>
      <c r="BX52" s="131">
        <f t="shared" si="78"/>
        <v>0.18905969255340388</v>
      </c>
      <c r="BY52" s="95">
        <f t="shared" si="78"/>
        <v>0.16695690030474533</v>
      </c>
      <c r="BZ52" s="559">
        <f t="shared" si="78"/>
        <v>0.19041272175751447</v>
      </c>
      <c r="CA52" s="94">
        <f>+CE52</f>
        <v>0.19</v>
      </c>
      <c r="CB52" s="94">
        <f>+CA52</f>
        <v>0.19</v>
      </c>
      <c r="CC52" s="94">
        <f>+CB52</f>
        <v>0.19</v>
      </c>
      <c r="CD52" s="95">
        <f ca="1">-CD50/CD48</f>
        <v>0.18999999999999967</v>
      </c>
      <c r="CE52" s="296">
        <v>0.19</v>
      </c>
      <c r="CF52" s="94">
        <v>0.19</v>
      </c>
      <c r="CG52" s="94">
        <v>0.19</v>
      </c>
      <c r="CH52" s="94">
        <f>+CG52</f>
        <v>0.19</v>
      </c>
      <c r="CI52" s="95">
        <f ca="1">-CI50/CI48</f>
        <v>0.18999999999999997</v>
      </c>
      <c r="CJ52" s="296">
        <v>0.19</v>
      </c>
      <c r="CK52" s="94">
        <v>0.19</v>
      </c>
      <c r="CL52" s="94">
        <v>0.19</v>
      </c>
      <c r="CM52" s="94">
        <f>+CL52</f>
        <v>0.19</v>
      </c>
      <c r="CN52" s="95">
        <f ca="1">-CN50/CN48</f>
        <v>0.1900000000000002</v>
      </c>
      <c r="CO52" s="296">
        <v>0.19</v>
      </c>
      <c r="CP52" s="94">
        <f>+CK52</f>
        <v>0.19</v>
      </c>
      <c r="CQ52" s="94">
        <f>+CP52</f>
        <v>0.19</v>
      </c>
      <c r="CR52" s="94">
        <f>+CQ52</f>
        <v>0.19</v>
      </c>
      <c r="CS52" s="95">
        <f ca="1">-CS50/CS48</f>
        <v>0.19000000000000042</v>
      </c>
      <c r="CT52" s="296">
        <v>0.19</v>
      </c>
      <c r="CU52" s="94">
        <f>+CP52</f>
        <v>0.19</v>
      </c>
      <c r="CV52" s="94">
        <f>+CU52</f>
        <v>0.19</v>
      </c>
      <c r="CW52" s="94">
        <f>+CV52</f>
        <v>0.19</v>
      </c>
      <c r="CX52" s="95">
        <f ca="1">-CX50/CX48</f>
        <v>0.18999999999999972</v>
      </c>
      <c r="CY52" s="296">
        <v>0.19</v>
      </c>
      <c r="CZ52" s="158"/>
      <c r="DA52" s="720"/>
      <c r="DB52" s="750"/>
      <c r="DC52" s="750"/>
      <c r="DE52" s="805"/>
      <c r="DF52" s="804"/>
      <c r="DG52" s="750"/>
      <c r="DH52" s="750"/>
      <c r="DI52" s="730"/>
      <c r="DJ52" s="730"/>
      <c r="DK52" s="718"/>
      <c r="DL52" s="730"/>
      <c r="DM52" s="730"/>
      <c r="DN52" s="730"/>
      <c r="DU52" s="48"/>
      <c r="DV52" s="48"/>
      <c r="DW52" s="730"/>
      <c r="DX52" s="730"/>
      <c r="DY52" s="730"/>
      <c r="DZ52" s="730"/>
      <c r="EA52" s="730"/>
      <c r="EG52" s="564"/>
      <c r="EH52" s="767"/>
      <c r="EI52" s="490"/>
      <c r="EJ52" s="767"/>
    </row>
    <row r="53" spans="1:141" ht="13.5" customHeight="1" x14ac:dyDescent="0.2">
      <c r="A53" s="48"/>
      <c r="B53" s="48"/>
      <c r="C53" s="48"/>
      <c r="D53" s="95"/>
      <c r="E53" s="95"/>
      <c r="F53" s="95"/>
      <c r="G53" s="95"/>
      <c r="H53" s="96"/>
      <c r="I53" s="95"/>
      <c r="J53" s="95"/>
      <c r="K53" s="95"/>
      <c r="L53" s="95"/>
      <c r="M53" s="96"/>
      <c r="N53" s="95"/>
      <c r="O53" s="95"/>
      <c r="P53" s="95"/>
      <c r="Q53" s="95"/>
      <c r="R53" s="96"/>
      <c r="S53" s="95"/>
      <c r="T53" s="95"/>
      <c r="U53" s="95"/>
      <c r="V53" s="95"/>
      <c r="W53" s="96"/>
      <c r="X53" s="95"/>
      <c r="Y53" s="95"/>
      <c r="Z53" s="95"/>
      <c r="AA53" s="95"/>
      <c r="AB53" s="96"/>
      <c r="AC53" s="95"/>
      <c r="AD53" s="95"/>
      <c r="AE53" s="95"/>
      <c r="AF53" s="95"/>
      <c r="AG53" s="96"/>
      <c r="AH53" s="95"/>
      <c r="AI53" s="95"/>
      <c r="AJ53" s="95"/>
      <c r="AK53" s="94"/>
      <c r="AL53" s="96"/>
      <c r="AM53" s="95"/>
      <c r="AN53" s="95"/>
      <c r="AO53" s="131"/>
      <c r="AP53" s="131"/>
      <c r="AQ53" s="96"/>
      <c r="AR53" s="95"/>
      <c r="AS53" s="95"/>
      <c r="AT53" s="92"/>
      <c r="AU53" s="95"/>
      <c r="AV53" s="96"/>
      <c r="AW53" s="95"/>
      <c r="AX53" s="95"/>
      <c r="AY53" s="95"/>
      <c r="AZ53" s="95"/>
      <c r="BA53" s="96"/>
      <c r="BB53" s="95"/>
      <c r="BC53" s="95"/>
      <c r="BD53" s="95"/>
      <c r="BE53" s="95"/>
      <c r="BF53" s="96"/>
      <c r="BG53" s="95"/>
      <c r="BH53" s="95"/>
      <c r="BI53" s="94"/>
      <c r="BJ53" s="95"/>
      <c r="BK53" s="296"/>
      <c r="BL53" s="94"/>
      <c r="BM53" s="94"/>
      <c r="BN53" s="94"/>
      <c r="BO53" s="95"/>
      <c r="BP53" s="296"/>
      <c r="BQ53" s="94"/>
      <c r="BR53" s="94"/>
      <c r="BS53" s="94"/>
      <c r="BT53" s="95"/>
      <c r="BU53" s="296"/>
      <c r="BV53" s="94"/>
      <c r="BW53" s="94"/>
      <c r="BX53" s="94"/>
      <c r="BY53" s="95"/>
      <c r="BZ53" s="296"/>
      <c r="CA53" s="94"/>
      <c r="CB53" s="94"/>
      <c r="CC53" s="94"/>
      <c r="CD53" s="95"/>
      <c r="CE53" s="296"/>
      <c r="CF53" s="94"/>
      <c r="CG53" s="94"/>
      <c r="CH53" s="94"/>
      <c r="CI53" s="95"/>
      <c r="CJ53" s="296"/>
      <c r="CK53" s="94"/>
      <c r="CL53" s="94"/>
      <c r="CM53" s="94"/>
      <c r="CN53" s="95"/>
      <c r="CO53" s="296"/>
      <c r="CP53" s="94"/>
      <c r="CQ53" s="94"/>
      <c r="CR53" s="94"/>
      <c r="CS53" s="95"/>
      <c r="CT53" s="296"/>
      <c r="CU53" s="94"/>
      <c r="CV53" s="94"/>
      <c r="CW53" s="94"/>
      <c r="CX53" s="95"/>
      <c r="CY53" s="296"/>
      <c r="CZ53" s="158"/>
      <c r="DA53" s="767"/>
      <c r="DB53" s="750"/>
      <c r="DC53" s="750"/>
      <c r="DD53" s="564"/>
      <c r="DF53" s="7"/>
      <c r="DG53" s="750"/>
      <c r="DH53" s="750"/>
      <c r="DI53" s="730"/>
      <c r="DJ53" s="730"/>
      <c r="DK53" s="730"/>
      <c r="DL53" s="730"/>
      <c r="DM53" s="730"/>
      <c r="DN53" s="730"/>
      <c r="DU53" s="48"/>
      <c r="DV53" s="48"/>
      <c r="DW53" s="730"/>
      <c r="DX53" s="730"/>
      <c r="DY53" s="718"/>
      <c r="DZ53" s="730"/>
      <c r="EA53" s="730"/>
      <c r="EG53" s="564"/>
      <c r="EH53" s="767"/>
      <c r="EI53" s="767"/>
      <c r="EJ53" s="767"/>
    </row>
    <row r="54" spans="1:141" ht="13.5" hidden="1" customHeight="1" x14ac:dyDescent="0.2">
      <c r="A54" s="78" t="s">
        <v>279</v>
      </c>
      <c r="B54" s="48"/>
      <c r="C54" s="48"/>
      <c r="D54" s="95"/>
      <c r="E54" s="95"/>
      <c r="F54" s="95"/>
      <c r="G54" s="95"/>
      <c r="H54" s="141">
        <f>+H73-H56</f>
        <v>220.41399999999999</v>
      </c>
      <c r="I54" s="62">
        <f t="shared" ref="I54:BR54" si="79">+I73-I56</f>
        <v>51.328999999999994</v>
      </c>
      <c r="J54" s="62">
        <f t="shared" si="79"/>
        <v>80.61399999999999</v>
      </c>
      <c r="K54" s="62">
        <f t="shared" si="79"/>
        <v>96.893000000000001</v>
      </c>
      <c r="L54" s="62">
        <f t="shared" si="79"/>
        <v>47.61</v>
      </c>
      <c r="M54" s="178">
        <f t="shared" si="79"/>
        <v>276.45000000000005</v>
      </c>
      <c r="N54" s="62">
        <f t="shared" si="79"/>
        <v>75.734999999999886</v>
      </c>
      <c r="O54" s="62">
        <f t="shared" si="79"/>
        <v>82.359000000000037</v>
      </c>
      <c r="P54" s="62">
        <f t="shared" si="79"/>
        <v>109.00000000000017</v>
      </c>
      <c r="Q54" s="62">
        <f t="shared" si="79"/>
        <v>58.200000000000031</v>
      </c>
      <c r="R54" s="178">
        <f t="shared" si="79"/>
        <v>325.30000000000007</v>
      </c>
      <c r="S54" s="62">
        <f t="shared" si="79"/>
        <v>85.500000000000057</v>
      </c>
      <c r="T54" s="62">
        <f t="shared" si="79"/>
        <v>68.399999999999977</v>
      </c>
      <c r="U54" s="62">
        <f t="shared" si="79"/>
        <v>107.79999999999987</v>
      </c>
      <c r="V54" s="62">
        <f t="shared" si="79"/>
        <v>70.199999999999818</v>
      </c>
      <c r="W54" s="178">
        <f t="shared" si="79"/>
        <v>331.89999999999964</v>
      </c>
      <c r="X54" s="62">
        <f t="shared" si="79"/>
        <v>29.800000000000065</v>
      </c>
      <c r="Y54" s="62">
        <f t="shared" si="79"/>
        <v>72.100000000000037</v>
      </c>
      <c r="Z54" s="62">
        <f t="shared" si="79"/>
        <v>119.59999999999995</v>
      </c>
      <c r="AA54" s="62">
        <f t="shared" si="79"/>
        <v>-834.80000000000007</v>
      </c>
      <c r="AB54" s="178">
        <f t="shared" si="79"/>
        <v>-613.30000000000018</v>
      </c>
      <c r="AC54" s="62">
        <f t="shared" si="79"/>
        <v>44.600000000000094</v>
      </c>
      <c r="AD54" s="62">
        <f t="shared" si="79"/>
        <v>-22.699999999999974</v>
      </c>
      <c r="AE54" s="62">
        <f t="shared" si="79"/>
        <v>83.500000000000028</v>
      </c>
      <c r="AF54" s="62">
        <f t="shared" si="79"/>
        <v>-406.79999999999995</v>
      </c>
      <c r="AG54" s="178">
        <f t="shared" si="79"/>
        <v>-301.40000000000026</v>
      </c>
      <c r="AH54" s="62">
        <f t="shared" si="79"/>
        <v>6.5000000000000284</v>
      </c>
      <c r="AI54" s="62">
        <f t="shared" si="79"/>
        <v>99.70000000000006</v>
      </c>
      <c r="AJ54" s="62">
        <f t="shared" si="79"/>
        <v>44.099999999999937</v>
      </c>
      <c r="AK54" s="148">
        <f t="shared" si="79"/>
        <v>-50.983999999999995</v>
      </c>
      <c r="AL54" s="178">
        <f t="shared" si="79"/>
        <v>99.315999999999974</v>
      </c>
      <c r="AM54" s="62">
        <f ca="1">+AM73-AM56</f>
        <v>87.433199999999999</v>
      </c>
      <c r="AN54" s="62">
        <f ca="1">+AN73-AN56</f>
        <v>93.399999999999977</v>
      </c>
      <c r="AO54" s="146">
        <f ca="1">+AO73-AO56</f>
        <v>332.9</v>
      </c>
      <c r="AP54" s="146">
        <f ca="1">+AP73-AP56</f>
        <v>45.799999999999983</v>
      </c>
      <c r="AQ54" s="178">
        <f t="shared" si="79"/>
        <v>559.53319999999985</v>
      </c>
      <c r="AR54" s="62">
        <f t="shared" si="79"/>
        <v>74.499999999999957</v>
      </c>
      <c r="AS54" s="62">
        <f t="shared" si="79"/>
        <v>162.60000000000002</v>
      </c>
      <c r="AT54" s="179">
        <f t="shared" si="79"/>
        <v>104.80000000000001</v>
      </c>
      <c r="AU54" s="62">
        <f t="shared" si="79"/>
        <v>103</v>
      </c>
      <c r="AV54" s="178">
        <f t="shared" si="79"/>
        <v>444.90000000000009</v>
      </c>
      <c r="AW54" s="62">
        <f t="shared" si="79"/>
        <v>71.999999999999972</v>
      </c>
      <c r="AX54" s="62">
        <f t="shared" si="79"/>
        <v>124.60000000000002</v>
      </c>
      <c r="AY54" s="62">
        <f t="shared" si="79"/>
        <v>109.49999999999997</v>
      </c>
      <c r="AZ54" s="62">
        <f t="shared" si="79"/>
        <v>81.699999999999989</v>
      </c>
      <c r="BA54" s="178">
        <f t="shared" si="79"/>
        <v>387.79999999999995</v>
      </c>
      <c r="BB54" s="62">
        <f t="shared" si="79"/>
        <v>73.69999999999996</v>
      </c>
      <c r="BC54" s="62">
        <f t="shared" si="79"/>
        <v>188.7</v>
      </c>
      <c r="BD54" s="62">
        <f t="shared" si="79"/>
        <v>217.2</v>
      </c>
      <c r="BE54" s="62">
        <f t="shared" si="79"/>
        <v>162.10000000000014</v>
      </c>
      <c r="BF54" s="178">
        <f t="shared" si="79"/>
        <v>641.70000000000027</v>
      </c>
      <c r="BG54" s="62">
        <f>+BG73-BG56</f>
        <v>215.20000000000005</v>
      </c>
      <c r="BH54" s="62">
        <f>+BH73-BH56</f>
        <v>221.99999999999977</v>
      </c>
      <c r="BI54" s="519">
        <f>+BI73-BI56</f>
        <v>248.30000000000007</v>
      </c>
      <c r="BJ54" s="520">
        <f>+BJ73-BJ56</f>
        <v>207.3</v>
      </c>
      <c r="BK54" s="262">
        <f t="shared" si="79"/>
        <v>892.8</v>
      </c>
      <c r="BL54" s="148">
        <f t="shared" si="79"/>
        <v>257.59999999999991</v>
      </c>
      <c r="BM54" s="148">
        <f t="shared" si="79"/>
        <v>319.4000000000002</v>
      </c>
      <c r="BN54" s="148">
        <f t="shared" si="79"/>
        <v>289.60000000000002</v>
      </c>
      <c r="BO54" s="62">
        <f t="shared" si="79"/>
        <v>245.30000000000007</v>
      </c>
      <c r="BP54" s="262">
        <f t="shared" si="79"/>
        <v>1111.8999999999996</v>
      </c>
      <c r="BQ54" s="148">
        <f t="shared" si="79"/>
        <v>317.79999999999995</v>
      </c>
      <c r="BR54" s="148">
        <f t="shared" si="79"/>
        <v>358.70000000000005</v>
      </c>
      <c r="BS54" s="624">
        <f>+BS73-BS56</f>
        <v>402.4</v>
      </c>
      <c r="BT54" s="384">
        <f>+BT73-BT56</f>
        <v>305.90000000000009</v>
      </c>
      <c r="BU54" s="625">
        <f t="shared" ref="BU54" si="80">+BU73-BU56</f>
        <v>1384.8000000000002</v>
      </c>
      <c r="BV54" s="624">
        <f>+BV73-BV56</f>
        <v>472.99999999999994</v>
      </c>
      <c r="BW54" s="624">
        <f>+BW73-BW56</f>
        <v>499.60000000000025</v>
      </c>
      <c r="BX54" s="624">
        <f>+BX73-BX56</f>
        <v>406.2</v>
      </c>
      <c r="BY54" s="384">
        <f>+BY73-BY56</f>
        <v>382.70000000000016</v>
      </c>
      <c r="BZ54" s="625">
        <f>+BZ73-BZ56</f>
        <v>1761.5000000000002</v>
      </c>
      <c r="CA54" s="624">
        <f t="shared" ref="CA54:CY54" ca="1" si="81">+CA73-CA56</f>
        <v>497.92970596783385</v>
      </c>
      <c r="CB54" s="624">
        <f t="shared" ca="1" si="81"/>
        <v>562.26344048779242</v>
      </c>
      <c r="CC54" s="624">
        <f t="shared" ca="1" si="81"/>
        <v>466.40100839483569</v>
      </c>
      <c r="CD54" s="384">
        <f t="shared" ca="1" si="81"/>
        <v>415.19520468209407</v>
      </c>
      <c r="CE54" s="625">
        <f t="shared" ca="1" si="81"/>
        <v>1941.789359532555</v>
      </c>
      <c r="CF54" s="148">
        <f t="shared" ca="1" si="81"/>
        <v>550.34521087247208</v>
      </c>
      <c r="CG54" s="148">
        <f t="shared" ca="1" si="81"/>
        <v>620.29615960100011</v>
      </c>
      <c r="CH54" s="148">
        <f t="shared" ca="1" si="81"/>
        <v>512.05699037984846</v>
      </c>
      <c r="CI54" s="62">
        <f t="shared" ca="1" si="81"/>
        <v>456.12573139460278</v>
      </c>
      <c r="CJ54" s="262">
        <f t="shared" ca="1" si="81"/>
        <v>2138.8240922479235</v>
      </c>
      <c r="CK54" s="148">
        <f t="shared" ca="1" si="81"/>
        <v>590.44397274692608</v>
      </c>
      <c r="CL54" s="148">
        <f t="shared" ca="1" si="81"/>
        <v>666.13632386703466</v>
      </c>
      <c r="CM54" s="148">
        <f t="shared" ca="1" si="81"/>
        <v>548.35529889698296</v>
      </c>
      <c r="CN54" s="62">
        <f t="shared" ca="1" si="81"/>
        <v>490.81947039073589</v>
      </c>
      <c r="CO54" s="262">
        <f t="shared" ca="1" si="81"/>
        <v>2295.7550659016797</v>
      </c>
      <c r="CP54" s="148">
        <f t="shared" ca="1" si="81"/>
        <v>632.76556997357773</v>
      </c>
      <c r="CQ54" s="148">
        <f t="shared" ca="1" si="81"/>
        <v>713.72400746457265</v>
      </c>
      <c r="CR54" s="148">
        <f t="shared" ca="1" si="81"/>
        <v>586.55048397714995</v>
      </c>
      <c r="CS54" s="62">
        <f t="shared" ca="1" si="81"/>
        <v>527.17660257571595</v>
      </c>
      <c r="CT54" s="262">
        <f t="shared" ca="1" si="81"/>
        <v>2460.2166639910183</v>
      </c>
      <c r="CU54" s="148">
        <f t="shared" ca="1" si="81"/>
        <v>674.54249252662316</v>
      </c>
      <c r="CV54" s="148">
        <f t="shared" ca="1" si="81"/>
        <v>760.07064737973701</v>
      </c>
      <c r="CW54" s="148">
        <f t="shared" ca="1" si="81"/>
        <v>623.6407069037972</v>
      </c>
      <c r="CX54" s="62">
        <f t="shared" ca="1" si="81"/>
        <v>562.03991059512384</v>
      </c>
      <c r="CY54" s="262">
        <f t="shared" ca="1" si="81"/>
        <v>2620.2937574052803</v>
      </c>
      <c r="CZ54" s="158"/>
      <c r="DA54" s="767"/>
      <c r="DB54" s="750"/>
      <c r="DC54" s="750"/>
      <c r="DF54" s="7"/>
      <c r="DG54" s="750"/>
      <c r="DH54" s="750"/>
      <c r="DI54" s="730"/>
      <c r="DJ54" s="730"/>
      <c r="DK54" s="730"/>
      <c r="DL54" s="730"/>
      <c r="DM54" s="730"/>
      <c r="DN54" s="730"/>
      <c r="DU54" s="48"/>
      <c r="DV54" s="48"/>
      <c r="DW54" s="730"/>
      <c r="DX54" s="730"/>
      <c r="DY54" s="730"/>
      <c r="DZ54" s="730"/>
      <c r="EA54" s="730"/>
    </row>
    <row r="55" spans="1:141" ht="13.5" hidden="1" customHeight="1" x14ac:dyDescent="0.2">
      <c r="A55" s="48"/>
      <c r="B55" s="48"/>
      <c r="C55" s="48"/>
      <c r="D55" s="95"/>
      <c r="E55" s="95"/>
      <c r="F55" s="95"/>
      <c r="G55" s="95"/>
      <c r="H55" s="96"/>
      <c r="I55" s="95"/>
      <c r="J55" s="95"/>
      <c r="K55" s="95"/>
      <c r="L55" s="95"/>
      <c r="M55" s="96"/>
      <c r="N55" s="95"/>
      <c r="O55" s="95"/>
      <c r="P55" s="95"/>
      <c r="Q55" s="95"/>
      <c r="R55" s="96"/>
      <c r="S55" s="95"/>
      <c r="T55" s="95"/>
      <c r="U55" s="95"/>
      <c r="V55" s="95"/>
      <c r="W55" s="96"/>
      <c r="X55" s="95"/>
      <c r="Y55" s="95"/>
      <c r="Z55" s="95"/>
      <c r="AA55" s="95"/>
      <c r="AB55" s="96"/>
      <c r="AC55" s="95"/>
      <c r="AD55" s="95"/>
      <c r="AE55" s="95"/>
      <c r="AF55" s="95"/>
      <c r="AG55" s="96"/>
      <c r="AH55" s="95"/>
      <c r="AI55" s="95"/>
      <c r="AJ55" s="95"/>
      <c r="AK55" s="94"/>
      <c r="AL55" s="96"/>
      <c r="AM55" s="95"/>
      <c r="AN55" s="95"/>
      <c r="AO55" s="131"/>
      <c r="AP55" s="131"/>
      <c r="AQ55" s="96"/>
      <c r="AR55" s="95"/>
      <c r="AS55" s="95"/>
      <c r="AT55" s="92"/>
      <c r="AU55" s="95"/>
      <c r="AV55" s="96"/>
      <c r="AW55" s="95"/>
      <c r="AX55" s="95"/>
      <c r="AY55" s="95"/>
      <c r="AZ55" s="95"/>
      <c r="BA55" s="96"/>
      <c r="BB55" s="95"/>
      <c r="BC55" s="95"/>
      <c r="BD55" s="95"/>
      <c r="BE55" s="95"/>
      <c r="BF55" s="96"/>
      <c r="BG55" s="95"/>
      <c r="BH55" s="95"/>
      <c r="BI55" s="94"/>
      <c r="BJ55" s="95"/>
      <c r="BK55" s="296"/>
      <c r="BL55" s="94"/>
      <c r="BM55" s="94"/>
      <c r="BN55" s="94"/>
      <c r="BO55" s="95"/>
      <c r="BP55" s="296"/>
      <c r="BQ55" s="94"/>
      <c r="BR55" s="94"/>
      <c r="BS55" s="94"/>
      <c r="BT55" s="95"/>
      <c r="BU55" s="296"/>
      <c r="BV55" s="94"/>
      <c r="BW55" s="94"/>
      <c r="BX55" s="94"/>
      <c r="BY55" s="95"/>
      <c r="BZ55" s="296"/>
      <c r="CA55" s="94"/>
      <c r="CB55" s="94"/>
      <c r="CC55" s="94"/>
      <c r="CD55" s="95"/>
      <c r="CE55" s="296"/>
      <c r="CF55" s="94"/>
      <c r="CG55" s="94"/>
      <c r="CH55" s="94"/>
      <c r="CI55" s="95"/>
      <c r="CJ55" s="296"/>
      <c r="CK55" s="94"/>
      <c r="CL55" s="94"/>
      <c r="CM55" s="94"/>
      <c r="CN55" s="95"/>
      <c r="CO55" s="296"/>
      <c r="CP55" s="94"/>
      <c r="CQ55" s="94"/>
      <c r="CR55" s="94"/>
      <c r="CS55" s="95"/>
      <c r="CT55" s="296"/>
      <c r="CU55" s="94"/>
      <c r="CV55" s="94"/>
      <c r="CW55" s="94"/>
      <c r="CX55" s="95"/>
      <c r="CY55" s="296"/>
      <c r="CZ55" s="158"/>
      <c r="DA55" s="767"/>
      <c r="DB55" s="750"/>
      <c r="DC55" s="750"/>
      <c r="DF55" s="7"/>
      <c r="DG55" s="750"/>
      <c r="DH55" s="750"/>
      <c r="DI55" s="730"/>
      <c r="DJ55" s="730"/>
      <c r="DK55" s="730"/>
      <c r="DL55" s="730"/>
      <c r="DM55" s="730"/>
      <c r="DN55" s="730"/>
      <c r="DU55" s="48"/>
      <c r="DV55" s="48"/>
      <c r="DW55" s="730"/>
      <c r="DX55" s="730"/>
      <c r="DY55" s="730"/>
      <c r="DZ55" s="730"/>
      <c r="EA55" s="730"/>
      <c r="EG55" s="564"/>
    </row>
    <row r="56" spans="1:141" ht="13.5" customHeight="1" x14ac:dyDescent="0.2">
      <c r="A56" s="48" t="s">
        <v>275</v>
      </c>
      <c r="B56" s="48"/>
      <c r="C56" s="48"/>
      <c r="D56" s="95"/>
      <c r="E56" s="95"/>
      <c r="F56" s="95"/>
      <c r="G56" s="95"/>
      <c r="H56" s="96"/>
      <c r="I56" s="95"/>
      <c r="J56" s="95"/>
      <c r="K56" s="95"/>
      <c r="L56" s="95"/>
      <c r="M56" s="96"/>
      <c r="N56" s="95"/>
      <c r="O56" s="95"/>
      <c r="P56" s="95"/>
      <c r="Q56" s="95"/>
      <c r="R56" s="96"/>
      <c r="S56" s="95"/>
      <c r="T56" s="95"/>
      <c r="U56" s="95"/>
      <c r="V56" s="95"/>
      <c r="W56" s="96"/>
      <c r="X56" s="95"/>
      <c r="Y56" s="95"/>
      <c r="Z56" s="95"/>
      <c r="AA56" s="95"/>
      <c r="AB56" s="96"/>
      <c r="AC56" s="95"/>
      <c r="AD56" s="95"/>
      <c r="AE56" s="95"/>
      <c r="AF56" s="95"/>
      <c r="AG56" s="96"/>
      <c r="AH56" s="95"/>
      <c r="AI56" s="95"/>
      <c r="AJ56" s="95"/>
      <c r="AK56" s="94"/>
      <c r="AL56" s="96"/>
      <c r="AM56" s="119">
        <v>0</v>
      </c>
      <c r="AN56" s="119">
        <v>0</v>
      </c>
      <c r="AO56" s="119">
        <v>0</v>
      </c>
      <c r="AP56" s="119">
        <v>0</v>
      </c>
      <c r="AQ56" s="105">
        <f>SUM(AM56:AP56)</f>
        <v>0</v>
      </c>
      <c r="AR56" s="119">
        <v>0</v>
      </c>
      <c r="AS56" s="119">
        <v>0</v>
      </c>
      <c r="AT56" s="119">
        <v>0</v>
      </c>
      <c r="AU56" s="119">
        <v>0</v>
      </c>
      <c r="AV56" s="105">
        <f>SUM(AR56:AU56)</f>
        <v>0</v>
      </c>
      <c r="AW56" s="119">
        <v>0</v>
      </c>
      <c r="AX56" s="119">
        <v>0</v>
      </c>
      <c r="AY56" s="119">
        <v>0</v>
      </c>
      <c r="AZ56" s="119">
        <v>0</v>
      </c>
      <c r="BA56" s="105">
        <f>SUM(AW56:AZ56)</f>
        <v>0</v>
      </c>
      <c r="BB56" s="119">
        <v>0</v>
      </c>
      <c r="BC56" s="119">
        <v>0</v>
      </c>
      <c r="BD56" s="119">
        <v>0</v>
      </c>
      <c r="BE56" s="119">
        <v>0</v>
      </c>
      <c r="BF56" s="105">
        <f>SUM(BB56:BE56)</f>
        <v>0</v>
      </c>
      <c r="BG56" s="119">
        <v>0</v>
      </c>
      <c r="BH56" s="119">
        <v>0</v>
      </c>
      <c r="BI56" s="119">
        <v>0</v>
      </c>
      <c r="BJ56" s="119">
        <f>3.1-2.9</f>
        <v>0.20000000000000018</v>
      </c>
      <c r="BK56" s="105">
        <f>SUM(BG56:BJ56)</f>
        <v>0.20000000000000018</v>
      </c>
      <c r="BL56" s="119">
        <f>-1.6+0.4</f>
        <v>-1.2000000000000002</v>
      </c>
      <c r="BM56" s="119">
        <f>-1.7-0.1</f>
        <v>-1.8</v>
      </c>
      <c r="BN56" s="119">
        <v>-0.5</v>
      </c>
      <c r="BO56" s="119">
        <v>-1.9</v>
      </c>
      <c r="BP56" s="105">
        <f>SUM(BL56:BO56)</f>
        <v>-5.4</v>
      </c>
      <c r="BQ56" s="527">
        <v>-0.8</v>
      </c>
      <c r="BR56" s="527">
        <v>5.7</v>
      </c>
      <c r="BS56" s="527">
        <v>0.9</v>
      </c>
      <c r="BT56" s="527">
        <v>-9.9</v>
      </c>
      <c r="BU56" s="105">
        <f>SUM(BQ56:BT56)</f>
        <v>-4.0999999999999996</v>
      </c>
      <c r="BV56" s="527">
        <v>-2.5</v>
      </c>
      <c r="BW56" s="527">
        <v>-2.5</v>
      </c>
      <c r="BX56" s="527">
        <v>-3.6</v>
      </c>
      <c r="BY56" s="527">
        <v>-3.3</v>
      </c>
      <c r="BZ56" s="105">
        <f>SUM(BV56:BY56)</f>
        <v>-11.899999999999999</v>
      </c>
      <c r="CA56" s="119">
        <v>-3.6</v>
      </c>
      <c r="CB56" s="119">
        <v>-3.6</v>
      </c>
      <c r="CC56" s="119">
        <v>-3.6</v>
      </c>
      <c r="CD56" s="119">
        <v>-3.6</v>
      </c>
      <c r="CE56" s="105">
        <f>SUM(CA56:CD56)</f>
        <v>-14.4</v>
      </c>
      <c r="CF56" s="119">
        <v>-5.4</v>
      </c>
      <c r="CG56" s="119">
        <v>-5.4</v>
      </c>
      <c r="CH56" s="119">
        <v>-5.4</v>
      </c>
      <c r="CI56" s="119">
        <v>-5.4</v>
      </c>
      <c r="CJ56" s="105">
        <f>SUM(CF56:CI56)</f>
        <v>-21.6</v>
      </c>
      <c r="CK56" s="119">
        <f>+CI56</f>
        <v>-5.4</v>
      </c>
      <c r="CL56" s="119">
        <f>+CK56</f>
        <v>-5.4</v>
      </c>
      <c r="CM56" s="119">
        <f>+CL56</f>
        <v>-5.4</v>
      </c>
      <c r="CN56" s="119">
        <f>+CM56</f>
        <v>-5.4</v>
      </c>
      <c r="CO56" s="105">
        <f>SUM(CK56:CN56)</f>
        <v>-21.6</v>
      </c>
      <c r="CP56" s="119">
        <f>+CN56</f>
        <v>-5.4</v>
      </c>
      <c r="CQ56" s="119">
        <f>+CP56</f>
        <v>-5.4</v>
      </c>
      <c r="CR56" s="119">
        <f>+CQ56</f>
        <v>-5.4</v>
      </c>
      <c r="CS56" s="119">
        <f>+CR56</f>
        <v>-5.4</v>
      </c>
      <c r="CT56" s="105">
        <f>SUM(CP56:CS56)</f>
        <v>-21.6</v>
      </c>
      <c r="CU56" s="119">
        <f>+CS56</f>
        <v>-5.4</v>
      </c>
      <c r="CV56" s="119">
        <f>+CU56</f>
        <v>-5.4</v>
      </c>
      <c r="CW56" s="119">
        <f>+CV56</f>
        <v>-5.4</v>
      </c>
      <c r="CX56" s="119">
        <f>+CW56</f>
        <v>-5.4</v>
      </c>
      <c r="CY56" s="105">
        <f>SUM(CU56:CX56)</f>
        <v>-21.6</v>
      </c>
      <c r="CZ56" s="158"/>
      <c r="DA56" s="767"/>
      <c r="DB56" s="750"/>
      <c r="DC56" s="750"/>
      <c r="DD56" s="564"/>
      <c r="DE56" s="806"/>
      <c r="DF56" s="804"/>
      <c r="DG56" s="750"/>
      <c r="DH56" s="750"/>
      <c r="DI56" s="730"/>
      <c r="DJ56" s="730"/>
      <c r="DK56" s="730"/>
      <c r="DL56" s="730"/>
      <c r="DM56" s="730"/>
      <c r="DN56" s="730"/>
      <c r="DU56" s="48"/>
      <c r="DV56" s="48"/>
      <c r="DW56" s="730"/>
      <c r="DX56" s="730"/>
      <c r="DY56" s="730"/>
      <c r="DZ56" s="730"/>
      <c r="EA56" s="730"/>
    </row>
    <row r="57" spans="1:141" ht="13.5" customHeight="1" x14ac:dyDescent="0.2">
      <c r="A57" s="48"/>
      <c r="B57" s="48"/>
      <c r="C57" s="48"/>
      <c r="D57" s="63"/>
      <c r="E57" s="63"/>
      <c r="F57" s="63"/>
      <c r="G57" s="63"/>
      <c r="H57" s="159"/>
      <c r="I57" s="63"/>
      <c r="J57" s="63"/>
      <c r="K57" s="63"/>
      <c r="L57" s="63"/>
      <c r="M57" s="159"/>
      <c r="N57" s="63"/>
      <c r="O57" s="63"/>
      <c r="P57" s="56"/>
      <c r="Q57" s="56"/>
      <c r="R57" s="101"/>
      <c r="S57" s="56"/>
      <c r="T57" s="56"/>
      <c r="U57" s="56"/>
      <c r="V57" s="56"/>
      <c r="W57" s="101"/>
      <c r="X57" s="56"/>
      <c r="Y57" s="56"/>
      <c r="Z57" s="56"/>
      <c r="AA57" s="56"/>
      <c r="AB57" s="101"/>
      <c r="AC57" s="56"/>
      <c r="AD57" s="56"/>
      <c r="AE57" s="56"/>
      <c r="AF57" s="56"/>
      <c r="AG57" s="101"/>
      <c r="AH57" s="56"/>
      <c r="AI57" s="56"/>
      <c r="AJ57" s="56"/>
      <c r="AK57" s="56"/>
      <c r="AL57" s="101"/>
      <c r="AM57" s="56"/>
      <c r="AN57" s="56"/>
      <c r="AO57" s="56"/>
      <c r="AP57" s="56"/>
      <c r="AQ57" s="101"/>
      <c r="AR57" s="56"/>
      <c r="AS57" s="56"/>
      <c r="AT57" s="103"/>
      <c r="AU57" s="56"/>
      <c r="AV57" s="101"/>
      <c r="AW57" s="143"/>
      <c r="AX57" s="143"/>
      <c r="AY57" s="226"/>
      <c r="AZ57" s="143"/>
      <c r="BA57" s="144"/>
      <c r="BB57" s="143"/>
      <c r="BC57" s="143"/>
      <c r="BD57" s="143"/>
      <c r="BE57" s="143"/>
      <c r="BF57" s="297"/>
      <c r="BG57" s="315"/>
      <c r="BH57" s="56"/>
      <c r="BI57" s="56"/>
      <c r="BJ57" s="56"/>
      <c r="BK57" s="101"/>
      <c r="BL57" s="56"/>
      <c r="BM57" s="56"/>
      <c r="BN57" s="56"/>
      <c r="BO57" s="56"/>
      <c r="BP57" s="101"/>
      <c r="BQ57" s="56"/>
      <c r="BR57" s="56"/>
      <c r="BS57" s="56"/>
      <c r="BT57" s="56"/>
      <c r="BU57" s="101"/>
      <c r="BV57" s="56"/>
      <c r="BW57" s="56"/>
      <c r="BX57" s="56"/>
      <c r="BY57" s="56"/>
      <c r="BZ57" s="101"/>
      <c r="CA57" s="56"/>
      <c r="CB57" s="56"/>
      <c r="CC57" s="56"/>
      <c r="CD57" s="56"/>
      <c r="CE57" s="101"/>
      <c r="CF57" s="56"/>
      <c r="CG57" s="56"/>
      <c r="CH57" s="56"/>
      <c r="CI57" s="56"/>
      <c r="CJ57" s="101"/>
      <c r="CK57" s="56"/>
      <c r="CL57" s="56"/>
      <c r="CM57" s="56"/>
      <c r="CN57" s="56"/>
      <c r="CO57" s="101"/>
      <c r="CP57" s="56"/>
      <c r="CQ57" s="56"/>
      <c r="CR57" s="56"/>
      <c r="CS57" s="56"/>
      <c r="CT57" s="101"/>
      <c r="CU57" s="56"/>
      <c r="CV57" s="56"/>
      <c r="CW57" s="56"/>
      <c r="CX57" s="56"/>
      <c r="CY57" s="101"/>
      <c r="CZ57" s="103"/>
      <c r="DB57" s="9"/>
      <c r="DC57" s="9"/>
      <c r="DF57" s="7"/>
      <c r="DG57" s="9"/>
      <c r="DH57" s="9"/>
      <c r="DI57" s="730"/>
      <c r="DJ57" s="730"/>
      <c r="DK57" s="730"/>
      <c r="DL57" s="730"/>
      <c r="DM57" s="730"/>
      <c r="DN57" s="730"/>
      <c r="DU57" s="48"/>
      <c r="DV57" s="48"/>
      <c r="DW57" s="730"/>
      <c r="DX57" s="730"/>
      <c r="DY57" s="730"/>
      <c r="DZ57" s="730"/>
      <c r="EA57" s="730"/>
      <c r="EG57" s="377"/>
    </row>
    <row r="58" spans="1:141" ht="13.5" customHeight="1" x14ac:dyDescent="0.2">
      <c r="A58" s="78" t="s">
        <v>84</v>
      </c>
      <c r="B58" s="78"/>
      <c r="C58" s="78"/>
      <c r="D58" s="87">
        <v>47.09</v>
      </c>
      <c r="E58" s="87">
        <v>66.370999999999995</v>
      </c>
      <c r="F58" s="87">
        <v>91.244</v>
      </c>
      <c r="G58" s="87">
        <v>61.83</v>
      </c>
      <c r="H58" s="160">
        <v>266.53699999999998</v>
      </c>
      <c r="I58" s="87">
        <v>59.790999999999997</v>
      </c>
      <c r="J58" s="87">
        <v>81.983999999999995</v>
      </c>
      <c r="K58" s="87">
        <v>99.155000000000001</v>
      </c>
      <c r="L58" s="87">
        <v>73.2</v>
      </c>
      <c r="M58" s="160">
        <v>314.10000000000002</v>
      </c>
      <c r="N58" s="87">
        <f t="shared" ref="N58:AS58" si="82">+N48+N50</f>
        <v>71.234999999999886</v>
      </c>
      <c r="O58" s="87">
        <f t="shared" si="82"/>
        <v>98.05900000000004</v>
      </c>
      <c r="P58" s="84">
        <f t="shared" si="82"/>
        <v>123.60000000000016</v>
      </c>
      <c r="Q58" s="84">
        <f t="shared" si="82"/>
        <v>86.900000000000034</v>
      </c>
      <c r="R58" s="85">
        <f t="shared" si="82"/>
        <v>379.80000000000007</v>
      </c>
      <c r="S58" s="84">
        <f t="shared" si="82"/>
        <v>74.70000000000006</v>
      </c>
      <c r="T58" s="84">
        <f t="shared" si="82"/>
        <v>104.49999999999997</v>
      </c>
      <c r="U58" s="84">
        <f t="shared" si="82"/>
        <v>139.19999999999987</v>
      </c>
      <c r="V58" s="84">
        <f t="shared" si="82"/>
        <v>84.799999999999812</v>
      </c>
      <c r="W58" s="85">
        <f t="shared" si="82"/>
        <v>403.29999999999967</v>
      </c>
      <c r="X58" s="84">
        <f t="shared" si="82"/>
        <v>48.500000000000064</v>
      </c>
      <c r="Y58" s="84">
        <f t="shared" si="82"/>
        <v>77.30000000000004</v>
      </c>
      <c r="Z58" s="84">
        <f t="shared" si="82"/>
        <v>121.39999999999995</v>
      </c>
      <c r="AA58" s="84">
        <f t="shared" si="82"/>
        <v>73.799999999999969</v>
      </c>
      <c r="AB58" s="85">
        <f t="shared" si="82"/>
        <v>320.99999999999983</v>
      </c>
      <c r="AC58" s="84">
        <f t="shared" si="82"/>
        <v>73.600000000000094</v>
      </c>
      <c r="AD58" s="84">
        <f t="shared" si="82"/>
        <v>99.000000000000028</v>
      </c>
      <c r="AE58" s="84">
        <f t="shared" si="82"/>
        <v>132.00000000000003</v>
      </c>
      <c r="AF58" s="84">
        <f t="shared" si="82"/>
        <v>46.700000000000024</v>
      </c>
      <c r="AG58" s="85">
        <f t="shared" si="82"/>
        <v>351.29999999999978</v>
      </c>
      <c r="AH58" s="84">
        <f t="shared" si="82"/>
        <v>72.700000000000017</v>
      </c>
      <c r="AI58" s="84">
        <f t="shared" si="82"/>
        <v>120.00000000000006</v>
      </c>
      <c r="AJ58" s="84">
        <f t="shared" si="82"/>
        <v>120.39999999999995</v>
      </c>
      <c r="AK58" s="84">
        <f t="shared" si="82"/>
        <v>34.816000000000017</v>
      </c>
      <c r="AL58" s="85">
        <f t="shared" si="82"/>
        <v>347.916</v>
      </c>
      <c r="AM58" s="84">
        <f t="shared" si="82"/>
        <v>82.933199999999999</v>
      </c>
      <c r="AN58" s="84">
        <f t="shared" si="82"/>
        <v>109.09999999999998</v>
      </c>
      <c r="AO58" s="84">
        <f t="shared" si="82"/>
        <v>141.5</v>
      </c>
      <c r="AP58" s="84">
        <f t="shared" si="82"/>
        <v>74.499999999999986</v>
      </c>
      <c r="AQ58" s="85">
        <f t="shared" si="82"/>
        <v>408.03319999999991</v>
      </c>
      <c r="AR58" s="84">
        <f t="shared" si="82"/>
        <v>84.099999999999952</v>
      </c>
      <c r="AS58" s="84">
        <f t="shared" si="82"/>
        <v>164.8</v>
      </c>
      <c r="AT58" s="86">
        <f t="shared" ref="AT58:BF58" si="83">+AT48+AT50</f>
        <v>100.80000000000001</v>
      </c>
      <c r="AU58" s="84">
        <f t="shared" si="83"/>
        <v>138.1</v>
      </c>
      <c r="AV58" s="85">
        <f t="shared" si="83"/>
        <v>487.80000000000007</v>
      </c>
      <c r="AW58" s="84">
        <f t="shared" si="83"/>
        <v>75.999999999999972</v>
      </c>
      <c r="AX58" s="84">
        <f t="shared" si="83"/>
        <v>131.00000000000003</v>
      </c>
      <c r="AY58" s="84">
        <f t="shared" si="83"/>
        <v>118.59999999999997</v>
      </c>
      <c r="AZ58" s="84">
        <f t="shared" si="83"/>
        <v>90.299999999999983</v>
      </c>
      <c r="BA58" s="85">
        <f>+BA48+BA50</f>
        <v>415.9</v>
      </c>
      <c r="BB58" s="84">
        <f>+BB48+BB50</f>
        <v>73.69999999999996</v>
      </c>
      <c r="BC58" s="84">
        <f t="shared" si="83"/>
        <v>188.7</v>
      </c>
      <c r="BD58" s="84">
        <f t="shared" si="83"/>
        <v>217.2</v>
      </c>
      <c r="BE58" s="84">
        <f t="shared" si="83"/>
        <v>162.10000000000014</v>
      </c>
      <c r="BF58" s="85">
        <f t="shared" si="83"/>
        <v>641.70000000000027</v>
      </c>
      <c r="BG58" s="84">
        <f>+BG48+BG50</f>
        <v>215.20000000000005</v>
      </c>
      <c r="BH58" s="84">
        <f>+BH48+BH50</f>
        <v>221.99999999999977</v>
      </c>
      <c r="BI58" s="84">
        <f t="shared" ref="BI58:BU58" si="84">+BI48+BI50+BI56</f>
        <v>248.30000000000007</v>
      </c>
      <c r="BJ58" s="84">
        <f t="shared" si="84"/>
        <v>207.5</v>
      </c>
      <c r="BK58" s="85">
        <f t="shared" si="84"/>
        <v>893</v>
      </c>
      <c r="BL58" s="84">
        <f t="shared" si="84"/>
        <v>256.39999999999992</v>
      </c>
      <c r="BM58" s="84">
        <f t="shared" si="84"/>
        <v>317.60000000000019</v>
      </c>
      <c r="BN58" s="84">
        <f t="shared" si="84"/>
        <v>289.10000000000002</v>
      </c>
      <c r="BO58" s="84">
        <f t="shared" si="84"/>
        <v>243.40000000000006</v>
      </c>
      <c r="BP58" s="85">
        <f t="shared" si="84"/>
        <v>1106.4999999999995</v>
      </c>
      <c r="BQ58" s="84">
        <f t="shared" si="84"/>
        <v>316.99999999999994</v>
      </c>
      <c r="BR58" s="84">
        <f t="shared" si="84"/>
        <v>364.40000000000003</v>
      </c>
      <c r="BS58" s="84">
        <f t="shared" si="84"/>
        <v>403.29999999999995</v>
      </c>
      <c r="BT58" s="84">
        <f t="shared" si="84"/>
        <v>296.00000000000011</v>
      </c>
      <c r="BU58" s="567">
        <f t="shared" si="84"/>
        <v>1380.7000000000003</v>
      </c>
      <c r="BV58" s="84">
        <f>+BV48+BV50+BV56</f>
        <v>470.49999999999994</v>
      </c>
      <c r="BW58" s="84">
        <f>+BW48+BW50+BW56</f>
        <v>497.10000000000025</v>
      </c>
      <c r="BX58" s="84">
        <f>+BX48+BX50+BX56</f>
        <v>402.59999999999997</v>
      </c>
      <c r="BY58" s="84">
        <f>+BY48+BY50+BY56</f>
        <v>379.40000000000015</v>
      </c>
      <c r="BZ58" s="602">
        <f>+BZ48+BZ50+BZ56</f>
        <v>1749.6000000000001</v>
      </c>
      <c r="CA58" s="84">
        <f t="shared" ref="CA58:CY58" ca="1" si="85">+CA48+CA50+CA56</f>
        <v>494.32970596783383</v>
      </c>
      <c r="CB58" s="84">
        <f t="shared" ca="1" si="85"/>
        <v>558.6634404877924</v>
      </c>
      <c r="CC58" s="84">
        <f t="shared" ca="1" si="85"/>
        <v>462.80100839483566</v>
      </c>
      <c r="CD58" s="84">
        <f t="shared" ca="1" si="85"/>
        <v>411.59520468209405</v>
      </c>
      <c r="CE58" s="85">
        <f t="shared" ca="1" si="85"/>
        <v>1927.3893595325549</v>
      </c>
      <c r="CF58" s="84">
        <f t="shared" ca="1" si="85"/>
        <v>544.9452108724721</v>
      </c>
      <c r="CG58" s="84">
        <f t="shared" ca="1" si="85"/>
        <v>614.89615960100014</v>
      </c>
      <c r="CH58" s="84">
        <f t="shared" ca="1" si="85"/>
        <v>506.65699037984848</v>
      </c>
      <c r="CI58" s="84">
        <f t="shared" ca="1" si="85"/>
        <v>450.7257313946028</v>
      </c>
      <c r="CJ58" s="85">
        <f t="shared" ca="1" si="85"/>
        <v>2117.2240922479236</v>
      </c>
      <c r="CK58" s="84">
        <f t="shared" ca="1" si="85"/>
        <v>585.0439727469261</v>
      </c>
      <c r="CL58" s="84">
        <f t="shared" ca="1" si="85"/>
        <v>660.73632386703468</v>
      </c>
      <c r="CM58" s="84">
        <f t="shared" ca="1" si="85"/>
        <v>542.95529889698298</v>
      </c>
      <c r="CN58" s="84">
        <f t="shared" ca="1" si="85"/>
        <v>485.41947039073591</v>
      </c>
      <c r="CO58" s="85">
        <f t="shared" ca="1" si="85"/>
        <v>2274.1550659016798</v>
      </c>
      <c r="CP58" s="84">
        <f t="shared" ca="1" si="85"/>
        <v>627.36556997357775</v>
      </c>
      <c r="CQ58" s="84">
        <f t="shared" ca="1" si="85"/>
        <v>708.32400746457267</v>
      </c>
      <c r="CR58" s="84">
        <f t="shared" ca="1" si="85"/>
        <v>581.15048397714997</v>
      </c>
      <c r="CS58" s="84">
        <f t="shared" ca="1" si="85"/>
        <v>521.77660257571597</v>
      </c>
      <c r="CT58" s="85">
        <f t="shared" ca="1" si="85"/>
        <v>2438.6166639910184</v>
      </c>
      <c r="CU58" s="84">
        <f t="shared" ca="1" si="85"/>
        <v>669.14249252662319</v>
      </c>
      <c r="CV58" s="84">
        <f t="shared" ca="1" si="85"/>
        <v>754.67064737973703</v>
      </c>
      <c r="CW58" s="84">
        <f t="shared" ca="1" si="85"/>
        <v>618.24070690379722</v>
      </c>
      <c r="CX58" s="84">
        <f t="shared" ca="1" si="85"/>
        <v>556.63991059512387</v>
      </c>
      <c r="CY58" s="85">
        <f t="shared" ca="1" si="85"/>
        <v>2598.6937574052804</v>
      </c>
      <c r="CZ58" s="86"/>
      <c r="DA58" s="804"/>
      <c r="DB58" s="738"/>
      <c r="DC58" s="738"/>
      <c r="DD58" s="7"/>
      <c r="DE58" s="772"/>
      <c r="DF58" s="7"/>
      <c r="DG58" s="738"/>
      <c r="DH58" s="738"/>
      <c r="DI58" s="733"/>
      <c r="DJ58" s="733"/>
      <c r="DK58" s="733"/>
      <c r="DL58" s="733"/>
      <c r="DM58" s="733"/>
      <c r="DN58" s="733"/>
      <c r="DU58" s="78"/>
      <c r="DV58" s="89"/>
      <c r="DW58" s="739"/>
      <c r="DX58" s="739"/>
      <c r="DY58" s="739"/>
      <c r="DZ58" s="739"/>
      <c r="EA58" s="739"/>
      <c r="EH58" s="564"/>
      <c r="EI58" s="564"/>
      <c r="EJ58" s="564"/>
    </row>
    <row r="59" spans="1:141" ht="13.5" customHeight="1" x14ac:dyDescent="0.2">
      <c r="A59" s="48"/>
      <c r="B59" s="48"/>
      <c r="C59" s="48"/>
      <c r="D59" s="87"/>
      <c r="E59" s="87"/>
      <c r="F59" s="87"/>
      <c r="G59" s="87"/>
      <c r="H59" s="160"/>
      <c r="I59" s="87"/>
      <c r="J59" s="87"/>
      <c r="K59" s="87"/>
      <c r="L59" s="87"/>
      <c r="M59" s="160"/>
      <c r="N59" s="87"/>
      <c r="O59" s="87"/>
      <c r="P59" s="84"/>
      <c r="Q59" s="84"/>
      <c r="R59" s="161"/>
      <c r="S59" s="84"/>
      <c r="T59" s="84"/>
      <c r="U59" s="84"/>
      <c r="V59" s="84"/>
      <c r="W59" s="162"/>
      <c r="X59" s="163"/>
      <c r="Y59" s="163"/>
      <c r="Z59" s="163"/>
      <c r="AA59" s="163"/>
      <c r="AB59" s="162"/>
      <c r="AC59" s="163"/>
      <c r="AD59" s="163"/>
      <c r="AE59" s="163"/>
      <c r="AF59" s="163"/>
      <c r="AG59" s="162"/>
      <c r="AH59" s="163"/>
      <c r="AI59" s="163"/>
      <c r="AJ59" s="163"/>
      <c r="AK59" s="163"/>
      <c r="AL59" s="162"/>
      <c r="AM59" s="163"/>
      <c r="AN59" s="163"/>
      <c r="AO59" s="163"/>
      <c r="AP59" s="163"/>
      <c r="AQ59" s="162"/>
      <c r="AR59" s="164"/>
      <c r="AS59" s="164"/>
      <c r="AT59" s="165"/>
      <c r="AU59" s="166"/>
      <c r="AV59" s="167"/>
      <c r="AW59" s="200"/>
      <c r="AX59" s="200"/>
      <c r="AY59" s="200"/>
      <c r="AZ59" s="200"/>
      <c r="BA59" s="285"/>
      <c r="BB59" s="200"/>
      <c r="BC59" s="200"/>
      <c r="BD59" s="200"/>
      <c r="BE59" s="200"/>
      <c r="BF59" s="521"/>
      <c r="BG59" s="522"/>
      <c r="BH59" s="522"/>
      <c r="BI59" s="522"/>
      <c r="BJ59" s="522"/>
      <c r="BK59" s="541"/>
      <c r="BL59" s="542"/>
      <c r="BM59" s="542"/>
      <c r="BN59" s="542"/>
      <c r="BO59" s="542"/>
      <c r="BP59" s="541"/>
      <c r="BQ59" s="542"/>
      <c r="BR59" s="542"/>
      <c r="BS59" s="542"/>
      <c r="BT59" s="542"/>
      <c r="BU59" s="541"/>
      <c r="BV59" s="542"/>
      <c r="BW59" s="542"/>
      <c r="BX59" s="542"/>
      <c r="BY59" s="542"/>
      <c r="BZ59" s="541"/>
      <c r="CA59" s="542"/>
      <c r="CB59" s="542"/>
      <c r="CC59" s="542"/>
      <c r="CD59" s="542"/>
      <c r="CE59" s="541"/>
      <c r="CF59" s="542"/>
      <c r="CG59" s="542"/>
      <c r="CH59" s="542"/>
      <c r="CI59" s="542"/>
      <c r="CJ59" s="541"/>
      <c r="CK59" s="522"/>
      <c r="CL59" s="522"/>
      <c r="CM59" s="522"/>
      <c r="CN59" s="522"/>
      <c r="CO59" s="523"/>
      <c r="CP59" s="522"/>
      <c r="CQ59" s="522"/>
      <c r="CR59" s="522"/>
      <c r="CS59" s="522"/>
      <c r="CT59" s="523"/>
      <c r="CU59" s="522"/>
      <c r="CV59" s="522"/>
      <c r="CW59" s="522"/>
      <c r="CX59" s="522"/>
      <c r="CY59" s="523"/>
      <c r="CZ59" s="524"/>
      <c r="DA59" s="807"/>
      <c r="DB59" s="808"/>
      <c r="DC59" s="808"/>
      <c r="DD59" s="7"/>
      <c r="DE59" s="734"/>
      <c r="DF59" s="809"/>
      <c r="DG59" s="808"/>
      <c r="DH59" s="808"/>
      <c r="DI59" s="733"/>
      <c r="DJ59" s="733"/>
      <c r="DK59" s="799"/>
      <c r="DL59" s="733"/>
      <c r="DM59" s="733"/>
      <c r="DN59" s="733"/>
      <c r="DU59" s="78"/>
      <c r="DV59" s="78"/>
      <c r="DW59" s="733"/>
      <c r="DX59" s="733"/>
      <c r="DY59" s="733"/>
      <c r="DZ59" s="733"/>
      <c r="EA59" s="733"/>
      <c r="EG59" s="564"/>
      <c r="EH59" s="767"/>
      <c r="EI59" s="490"/>
      <c r="EJ59" s="767"/>
    </row>
    <row r="60" spans="1:141" ht="13.5" customHeight="1" x14ac:dyDescent="0.2">
      <c r="A60" s="78" t="s">
        <v>85</v>
      </c>
      <c r="B60" s="78"/>
      <c r="C60" s="78"/>
      <c r="D60" s="32">
        <f t="shared" ref="D60:Q60" si="86">D58/D78</f>
        <v>0.24612956168135397</v>
      </c>
      <c r="E60" s="32">
        <f t="shared" si="86"/>
        <v>0.31868991942841224</v>
      </c>
      <c r="F60" s="32">
        <f t="shared" si="86"/>
        <v>0.39950611229815408</v>
      </c>
      <c r="G60" s="32">
        <f t="shared" si="86"/>
        <v>0.26963028859991106</v>
      </c>
      <c r="H60" s="168">
        <f t="shared" si="86"/>
        <v>1.2461055840221416</v>
      </c>
      <c r="I60" s="32">
        <f t="shared" si="86"/>
        <v>0.25982192132033738</v>
      </c>
      <c r="J60" s="32">
        <f t="shared" si="86"/>
        <v>0.35293357957407234</v>
      </c>
      <c r="K60" s="32">
        <f t="shared" si="86"/>
        <v>0.42473399242670873</v>
      </c>
      <c r="L60" s="32">
        <f t="shared" si="86"/>
        <v>0.30993178960204248</v>
      </c>
      <c r="M60" s="168">
        <f t="shared" si="86"/>
        <v>1.3477216167510513</v>
      </c>
      <c r="N60" s="32">
        <f t="shared" si="86"/>
        <v>0.29911317886745503</v>
      </c>
      <c r="O60" s="32">
        <f t="shared" si="86"/>
        <v>0.41016685419812543</v>
      </c>
      <c r="P60" s="169">
        <f t="shared" si="86"/>
        <v>0.51805870493706663</v>
      </c>
      <c r="Q60" s="32">
        <f t="shared" si="86"/>
        <v>0.36273625859881131</v>
      </c>
      <c r="R60" s="168">
        <f>+R58/R78</f>
        <v>1.5910718998604987</v>
      </c>
      <c r="S60" s="169">
        <f>S58/S78</f>
        <v>0.31112036651395275</v>
      </c>
      <c r="T60" s="169">
        <f>T58/T78</f>
        <v>0.43484050300019128</v>
      </c>
      <c r="U60" s="169">
        <f>U58/U78</f>
        <v>0.58146334942939681</v>
      </c>
      <c r="V60" s="169">
        <f>V58/V78</f>
        <v>0.35397343529549191</v>
      </c>
      <c r="W60" s="161">
        <f>(W58/W78)</f>
        <v>1.6820145805181577</v>
      </c>
      <c r="X60" s="169">
        <f>X58/X78</f>
        <v>0.2077630558732691</v>
      </c>
      <c r="Y60" s="169">
        <f>Y58/Y78</f>
        <v>0.35248518011855923</v>
      </c>
      <c r="Z60" s="169">
        <f>Z58/Z78</f>
        <v>0.55324656385577287</v>
      </c>
      <c r="AA60" s="169">
        <f>(AA58/AA78)</f>
        <v>0.33668036806737239</v>
      </c>
      <c r="AB60" s="161">
        <f>(AB58/AB78)</f>
        <v>1.4399461702366259</v>
      </c>
      <c r="AC60" s="169">
        <f>AC58/AC78</f>
        <v>0.33578786966320884</v>
      </c>
      <c r="AD60" s="169">
        <f>AD58/AD78</f>
        <v>0.44927911124423098</v>
      </c>
      <c r="AE60" s="169">
        <f>AE58/AE78</f>
        <v>0.5999836368099053</v>
      </c>
      <c r="AF60" s="169">
        <f>AF58/AF78</f>
        <v>0.21241755742551752</v>
      </c>
      <c r="AG60" s="161">
        <f>(AG58/AG78)</f>
        <v>1.5973264220433765</v>
      </c>
      <c r="AH60" s="169">
        <f>AH58/AH78</f>
        <v>0.33072513874988635</v>
      </c>
      <c r="AI60" s="169">
        <f>AI58/AI78</f>
        <v>0.54369002419420631</v>
      </c>
      <c r="AJ60" s="169">
        <f>AJ58/AJ78</f>
        <v>0.54184199275443823</v>
      </c>
      <c r="AK60" s="169">
        <f>AK58/AK78</f>
        <v>0.1564103255253961</v>
      </c>
      <c r="AL60" s="161">
        <f>(AL58/AL78)</f>
        <v>1.5719102303878878</v>
      </c>
      <c r="AM60" s="169">
        <f>AM58/AM78</f>
        <v>0.37893957670797235</v>
      </c>
      <c r="AN60" s="169">
        <f>AN58/AN78</f>
        <v>0.51669674021662415</v>
      </c>
      <c r="AO60" s="169">
        <f>AO58/AO78</f>
        <v>0.66397635024165924</v>
      </c>
      <c r="AP60" s="169">
        <f>AP58/AP78</f>
        <v>0.3507764165246296</v>
      </c>
      <c r="AQ60" s="161">
        <f>(AQ58/AQ78)</f>
        <v>1.9087933010548965</v>
      </c>
      <c r="AR60" s="169">
        <f>AR58/AR78</f>
        <v>0.39131931842504425</v>
      </c>
      <c r="AS60" s="169">
        <f>AS58/AS78</f>
        <v>0.77137307215240236</v>
      </c>
      <c r="AT60" s="169">
        <f>AT58/AT78</f>
        <v>0.49671566477605916</v>
      </c>
      <c r="AU60" s="169">
        <f>AU58/AU78</f>
        <v>0.68719117449480749</v>
      </c>
      <c r="AV60" s="161">
        <f>(AV58/AV78)</f>
        <v>2.3378303898780288</v>
      </c>
      <c r="AW60" s="169">
        <f>AW58/AW78</f>
        <v>0.39945128008367436</v>
      </c>
      <c r="AX60" s="169">
        <f>AX58/AX78</f>
        <v>0.70948873483535546</v>
      </c>
      <c r="AY60" s="169">
        <f>AY58/AY78</f>
        <v>0.62521086369770562</v>
      </c>
      <c r="AZ60" s="169">
        <f>AZ58/AZ78</f>
        <v>0.47058455669684024</v>
      </c>
      <c r="BA60" s="161">
        <f>(BA58/BA78)</f>
        <v>2.1854161959360403</v>
      </c>
      <c r="BB60" s="169">
        <f>BB58/BB78</f>
        <v>0.37817368280618197</v>
      </c>
      <c r="BC60" s="169">
        <f>BC58/BC78</f>
        <v>0.95900227172239239</v>
      </c>
      <c r="BD60" s="169">
        <f>BD58/BD78</f>
        <v>1.0965155844549226</v>
      </c>
      <c r="BE60" s="169">
        <f>BE58/BE78</f>
        <v>0.8139143707854456</v>
      </c>
      <c r="BF60" s="161">
        <f>(BF58/BF78)</f>
        <v>3.2479627473806767</v>
      </c>
      <c r="BG60" s="169">
        <f>BG58/BG78</f>
        <v>1.0740774014514023</v>
      </c>
      <c r="BH60" s="169">
        <f>BH58/BH78</f>
        <v>1.1055776892430267</v>
      </c>
      <c r="BI60" s="169">
        <f>BI58/BI78</f>
        <v>1.2336294441463467</v>
      </c>
      <c r="BJ60" s="169">
        <f>BJ58/BJ78</f>
        <v>1.026181221130926</v>
      </c>
      <c r="BK60" s="161">
        <f>(BK58/BK78)</f>
        <v>4.4392523364485985</v>
      </c>
      <c r="BL60" s="169">
        <f>BL58/BL78</f>
        <v>1.2639570136304255</v>
      </c>
      <c r="BM60" s="169">
        <f>BM58/BM78</f>
        <v>1.5636847028703666</v>
      </c>
      <c r="BN60" s="540">
        <f>BN58/BN78</f>
        <v>1.4164902790843525</v>
      </c>
      <c r="BO60" s="540">
        <f>BO58/BO78</f>
        <v>1.1862118708910239</v>
      </c>
      <c r="BP60" s="161">
        <f>(BP58/BP78)</f>
        <v>5.4289961876818431</v>
      </c>
      <c r="BQ60" s="169">
        <f>BQ58/BQ78</f>
        <v>1.5435743992391393</v>
      </c>
      <c r="BR60" s="169">
        <f>BR58/BR78</f>
        <v>1.7719004020813511</v>
      </c>
      <c r="BS60" s="169">
        <f>BS58/BS78</f>
        <v>1.9629555773856417</v>
      </c>
      <c r="BT60" s="169">
        <f>BT58/BT78</f>
        <v>1.4809774451137756</v>
      </c>
      <c r="BU60" s="161">
        <f>(BU58/BU78)</f>
        <v>6.7648543108981443</v>
      </c>
      <c r="BV60" s="169">
        <f>BV58/BV78</f>
        <v>2.340446699497587</v>
      </c>
      <c r="BW60" s="169">
        <f>BW58/BW78</f>
        <v>2.4688844079346013</v>
      </c>
      <c r="BX60" s="169">
        <f>BX58/BX78</f>
        <v>2.0012228037996391</v>
      </c>
      <c r="BY60" s="169">
        <f>BY58/BY78</f>
        <v>1.9018115833057643</v>
      </c>
      <c r="BZ60" s="161">
        <f>(BZ58/BZ78)</f>
        <v>8.7148074770218926</v>
      </c>
      <c r="CA60" s="169">
        <f ca="1">CA58/CA78</f>
        <v>2.5066304637483281</v>
      </c>
      <c r="CB60" s="169">
        <f ca="1">CB58/CB78</f>
        <v>2.8471160826757571</v>
      </c>
      <c r="CC60" s="169">
        <f ca="1">CC58/CC78</f>
        <v>2.3719290074718757</v>
      </c>
      <c r="CD60" s="169">
        <f ca="1">CD58/CD78</f>
        <v>2.1192511110578818</v>
      </c>
      <c r="CE60" s="161">
        <f ca="1">(CE58/CE78)</f>
        <v>9.8491613923280532</v>
      </c>
      <c r="CF60" s="169">
        <f ca="1">CF58/CF78</f>
        <v>2.8215425189699639</v>
      </c>
      <c r="CG60" s="169">
        <f ca="1">CG58/CG78</f>
        <v>3.2100298422913589</v>
      </c>
      <c r="CH60" s="169">
        <f ca="1">CH58/CH78</f>
        <v>2.6684875344502887</v>
      </c>
      <c r="CI60" s="169">
        <f ca="1">CI58/CI78</f>
        <v>2.3924305688134733</v>
      </c>
      <c r="CJ60" s="161">
        <f ca="1">(CJ58/CJ78)</f>
        <v>11.100121344160531</v>
      </c>
      <c r="CK60" s="169">
        <f ca="1">CK58/CK78</f>
        <v>3.1267244284048172</v>
      </c>
      <c r="CL60" s="169">
        <f ca="1">CL58/CL78</f>
        <v>3.5584504368136498</v>
      </c>
      <c r="CM60" s="169">
        <f ca="1">CM58/CM78</f>
        <v>2.9485562889899999</v>
      </c>
      <c r="CN60" s="169">
        <f ca="1">CN58/CN78</f>
        <v>2.6551849565974863</v>
      </c>
      <c r="CO60" s="161">
        <f ca="1">(CO58/CO78)</f>
        <v>12.296818759760743</v>
      </c>
      <c r="CP60" s="169">
        <f ca="1">CP58/CP78</f>
        <v>3.4531794523270012</v>
      </c>
      <c r="CQ60" s="169">
        <f ca="1">CQ58/CQ78</f>
        <v>3.926649749094187</v>
      </c>
      <c r="CR60" s="169">
        <f ca="1">CR58/CR78</f>
        <v>3.2468481545313357</v>
      </c>
      <c r="CS60" s="169">
        <f ca="1">CS58/CS78</f>
        <v>2.9346022825784215</v>
      </c>
      <c r="CT60" s="161">
        <f ca="1">(CT58/CT78)</f>
        <v>13.569409066912826</v>
      </c>
      <c r="CU60" s="169">
        <f ca="1">CU58/CU78</f>
        <v>3.7848993869958432</v>
      </c>
      <c r="CV60" s="169">
        <f ca="1">CV58/CV78</f>
        <v>4.296829520039597</v>
      </c>
      <c r="CW60" s="169">
        <f ca="1">CW58/CW78</f>
        <v>3.5457234795565835</v>
      </c>
      <c r="CX60" s="169">
        <f ca="1">CX58/CX78</f>
        <v>3.2120010391044875</v>
      </c>
      <c r="CY60" s="161">
        <f ca="1">(CY58/CY78)</f>
        <v>14.847782856296661</v>
      </c>
      <c r="CZ60" s="170"/>
      <c r="DA60" s="810"/>
      <c r="DB60" s="811"/>
      <c r="DC60" s="811"/>
      <c r="DD60" s="748"/>
      <c r="DE60" s="772"/>
      <c r="DF60" s="7"/>
      <c r="DG60" s="811"/>
      <c r="DH60" s="811"/>
      <c r="DI60" s="773"/>
      <c r="DJ60" s="733"/>
      <c r="DK60" s="733"/>
      <c r="DL60" s="733"/>
      <c r="DM60" s="733"/>
      <c r="DN60" s="733"/>
      <c r="DU60" s="78"/>
      <c r="DV60" s="78"/>
      <c r="DW60" s="733"/>
      <c r="DX60" s="733"/>
      <c r="DY60" s="733"/>
      <c r="DZ60" s="733"/>
      <c r="EA60" s="733"/>
      <c r="EG60" s="564"/>
      <c r="EH60" s="767"/>
      <c r="EI60" s="767"/>
      <c r="EJ60" s="767"/>
    </row>
    <row r="61" spans="1:141" ht="13.5" customHeight="1" x14ac:dyDescent="0.2">
      <c r="A61" s="171"/>
      <c r="B61" s="171" t="s">
        <v>86</v>
      </c>
      <c r="C61" s="171"/>
      <c r="D61" s="95"/>
      <c r="E61" s="95"/>
      <c r="F61" s="95"/>
      <c r="G61" s="95"/>
      <c r="H61" s="96"/>
      <c r="I61" s="95">
        <f t="shared" ref="I61:AN61" si="87">+I60/D60-1</f>
        <v>5.5630699317255949E-2</v>
      </c>
      <c r="J61" s="95">
        <f t="shared" si="87"/>
        <v>0.10745134394924682</v>
      </c>
      <c r="K61" s="95">
        <f t="shared" si="87"/>
        <v>6.3147669965377018E-2</v>
      </c>
      <c r="L61" s="95">
        <f t="shared" si="87"/>
        <v>0.14946948731688114</v>
      </c>
      <c r="M61" s="96">
        <f t="shared" si="87"/>
        <v>8.1546888186566413E-2</v>
      </c>
      <c r="N61" s="95">
        <f t="shared" si="87"/>
        <v>0.15122379723562673</v>
      </c>
      <c r="O61" s="95">
        <f t="shared" si="87"/>
        <v>0.16216443528304514</v>
      </c>
      <c r="P61" s="90">
        <f t="shared" si="87"/>
        <v>0.2197250848163792</v>
      </c>
      <c r="Q61" s="90">
        <f t="shared" si="87"/>
        <v>0.17037448486510742</v>
      </c>
      <c r="R61" s="98">
        <f t="shared" si="87"/>
        <v>0.18056420560804787</v>
      </c>
      <c r="S61" s="90">
        <f t="shared" si="87"/>
        <v>4.0142623243686781E-2</v>
      </c>
      <c r="T61" s="90">
        <f t="shared" si="87"/>
        <v>6.0155150396788537E-2</v>
      </c>
      <c r="U61" s="90">
        <f t="shared" si="87"/>
        <v>0.12238891825981879</v>
      </c>
      <c r="V61" s="90">
        <f t="shared" si="87"/>
        <v>-2.4157561025657359E-2</v>
      </c>
      <c r="W61" s="98">
        <f t="shared" si="87"/>
        <v>5.7158121305286524E-2</v>
      </c>
      <c r="X61" s="90">
        <f t="shared" si="87"/>
        <v>-0.33221004397360276</v>
      </c>
      <c r="Y61" s="90">
        <f t="shared" si="87"/>
        <v>-0.1893920237729001</v>
      </c>
      <c r="Z61" s="90">
        <f t="shared" si="87"/>
        <v>-4.8527195396431688E-2</v>
      </c>
      <c r="AA61" s="90">
        <f t="shared" si="87"/>
        <v>-4.8854138485515231E-2</v>
      </c>
      <c r="AB61" s="98">
        <f t="shared" si="87"/>
        <v>-0.14391576213742496</v>
      </c>
      <c r="AC61" s="90">
        <f t="shared" si="87"/>
        <v>0.61620586610947847</v>
      </c>
      <c r="AD61" s="90">
        <f t="shared" si="87"/>
        <v>0.27460425738499095</v>
      </c>
      <c r="AE61" s="90">
        <f t="shared" si="87"/>
        <v>8.4477836840784137E-2</v>
      </c>
      <c r="AF61" s="90">
        <f t="shared" si="87"/>
        <v>-0.36908243671929486</v>
      </c>
      <c r="AG61" s="98">
        <f t="shared" si="87"/>
        <v>0.10929592720878478</v>
      </c>
      <c r="AH61" s="90">
        <f t="shared" si="87"/>
        <v>-1.5077170352819302E-2</v>
      </c>
      <c r="AI61" s="90">
        <f t="shared" si="87"/>
        <v>0.21013866566935269</v>
      </c>
      <c r="AJ61" s="90">
        <f t="shared" si="87"/>
        <v>-9.6905382894447611E-2</v>
      </c>
      <c r="AK61" s="90">
        <f t="shared" si="87"/>
        <v>-0.26366573732851573</v>
      </c>
      <c r="AL61" s="98">
        <f t="shared" si="87"/>
        <v>-1.5911708029580529E-2</v>
      </c>
      <c r="AM61" s="90">
        <f t="shared" si="87"/>
        <v>0.1457840130941741</v>
      </c>
      <c r="AN61" s="90">
        <f t="shared" si="87"/>
        <v>-4.964829733190057E-2</v>
      </c>
      <c r="AO61" s="90">
        <f t="shared" ref="AO61:BT61" si="88">+AO60/AJ60-1</f>
        <v>0.2254058546964115</v>
      </c>
      <c r="AP61" s="90">
        <f t="shared" si="88"/>
        <v>1.2426679015361719</v>
      </c>
      <c r="AQ61" s="98">
        <f t="shared" si="88"/>
        <v>0.21431444630516761</v>
      </c>
      <c r="AR61" s="90">
        <f t="shared" si="88"/>
        <v>3.2669434595933744E-2</v>
      </c>
      <c r="AS61" s="90">
        <f t="shared" si="88"/>
        <v>0.49289324300556969</v>
      </c>
      <c r="AT61" s="97">
        <f t="shared" si="88"/>
        <v>-0.25190759490865045</v>
      </c>
      <c r="AU61" s="90">
        <f t="shared" si="88"/>
        <v>0.9590575139094526</v>
      </c>
      <c r="AV61" s="98">
        <f t="shared" si="88"/>
        <v>0.22476875237671079</v>
      </c>
      <c r="AW61" s="90">
        <f t="shared" si="88"/>
        <v>2.0780884755087214E-2</v>
      </c>
      <c r="AX61" s="90">
        <f t="shared" si="88"/>
        <v>-8.0226209017600025E-2</v>
      </c>
      <c r="AY61" s="90">
        <f t="shared" si="88"/>
        <v>0.25868964486871504</v>
      </c>
      <c r="AZ61" s="90">
        <f t="shared" si="88"/>
        <v>-0.31520576200241057</v>
      </c>
      <c r="BA61" s="98">
        <f t="shared" si="88"/>
        <v>-6.5194718402963536E-2</v>
      </c>
      <c r="BB61" s="90">
        <f t="shared" si="88"/>
        <v>-5.3267064942276066E-2</v>
      </c>
      <c r="BC61" s="90">
        <f t="shared" si="88"/>
        <v>0.35168075916658381</v>
      </c>
      <c r="BD61" s="90">
        <f t="shared" si="88"/>
        <v>0.7538332235140055</v>
      </c>
      <c r="BE61" s="90">
        <f t="shared" si="88"/>
        <v>0.72958155809134451</v>
      </c>
      <c r="BF61" s="98">
        <f t="shared" si="88"/>
        <v>0.48619871739787057</v>
      </c>
      <c r="BG61" s="90">
        <f t="shared" si="88"/>
        <v>1.8401696106438967</v>
      </c>
      <c r="BH61" s="90">
        <f>+BH60/BC60-1</f>
        <v>0.15284157487696159</v>
      </c>
      <c r="BI61" s="90">
        <f>+BI60/BD60-1</f>
        <v>0.12504506240974522</v>
      </c>
      <c r="BJ61" s="90">
        <f>+BJ60/BE60-1</f>
        <v>0.26079752116999511</v>
      </c>
      <c r="BK61" s="98">
        <f>+BK60/BF60-1</f>
        <v>0.36678055806786536</v>
      </c>
      <c r="BL61" s="90">
        <f t="shared" si="88"/>
        <v>0.17678391885206657</v>
      </c>
      <c r="BM61" s="90">
        <f t="shared" si="88"/>
        <v>0.41435985737103587</v>
      </c>
      <c r="BN61" s="90">
        <f t="shared" si="88"/>
        <v>0.14822995333460343</v>
      </c>
      <c r="BO61" s="90">
        <f t="shared" si="88"/>
        <v>0.15594774730308592</v>
      </c>
      <c r="BP61" s="98">
        <f>+BP60/BK60-1</f>
        <v>0.22295282543569939</v>
      </c>
      <c r="BQ61" s="90">
        <f t="shared" si="88"/>
        <v>0.22122380950723741</v>
      </c>
      <c r="BR61" s="90">
        <f t="shared" si="88"/>
        <v>0.13315708648218849</v>
      </c>
      <c r="BS61" s="90">
        <f t="shared" si="88"/>
        <v>0.38578824462850192</v>
      </c>
      <c r="BT61" s="90">
        <f t="shared" si="88"/>
        <v>0.2484931920309803</v>
      </c>
      <c r="BU61" s="98">
        <f>+BU60/BP60-1</f>
        <v>0.24605987498154902</v>
      </c>
      <c r="BV61" s="90">
        <f t="shared" ref="BV61:BX61" si="89">+BV60/BQ60-1</f>
        <v>0.51625130648139983</v>
      </c>
      <c r="BW61" s="90">
        <f t="shared" si="89"/>
        <v>0.39335394079404384</v>
      </c>
      <c r="BX61" s="90">
        <f t="shared" si="89"/>
        <v>1.9494698125040344E-2</v>
      </c>
      <c r="BY61" s="90">
        <f t="shared" ref="BY61:CY61" si="90">+BY60/BT60-1</f>
        <v>0.28415972139242007</v>
      </c>
      <c r="BZ61" s="98">
        <f t="shared" si="90"/>
        <v>0.2882476216793588</v>
      </c>
      <c r="CA61" s="90">
        <f t="shared" ca="1" si="90"/>
        <v>7.1005147985816031E-2</v>
      </c>
      <c r="CB61" s="90">
        <f t="shared" ca="1" si="90"/>
        <v>0.15319942623704019</v>
      </c>
      <c r="CC61" s="90">
        <f t="shared" ca="1" si="90"/>
        <v>0.18523984584244801</v>
      </c>
      <c r="CD61" s="90">
        <f t="shared" ca="1" si="90"/>
        <v>0.11433284435788327</v>
      </c>
      <c r="CE61" s="98">
        <f t="shared" ca="1" si="90"/>
        <v>0.13016396728178825</v>
      </c>
      <c r="CF61" s="90">
        <f t="shared" ca="1" si="90"/>
        <v>0.12563162371797199</v>
      </c>
      <c r="CG61" s="90">
        <f t="shared" ca="1" si="90"/>
        <v>0.12746714537699178</v>
      </c>
      <c r="CH61" s="90">
        <f t="shared" ca="1" si="90"/>
        <v>0.12502841613059079</v>
      </c>
      <c r="CI61" s="90">
        <f t="shared" ca="1" si="90"/>
        <v>0.12890376998279662</v>
      </c>
      <c r="CJ61" s="98">
        <f t="shared" ca="1" si="90"/>
        <v>0.12701182384998844</v>
      </c>
      <c r="CK61" s="90">
        <f t="shared" ca="1" si="90"/>
        <v>0.10816137179682239</v>
      </c>
      <c r="CL61" s="90">
        <f t="shared" ca="1" si="90"/>
        <v>0.1085412322128394</v>
      </c>
      <c r="CM61" s="90">
        <f t="shared" ca="1" si="90"/>
        <v>0.10495411761307172</v>
      </c>
      <c r="CN61" s="90">
        <f t="shared" ca="1" si="90"/>
        <v>0.10982738275005666</v>
      </c>
      <c r="CO61" s="98">
        <f t="shared" ca="1" si="90"/>
        <v>0.10780939941974266</v>
      </c>
      <c r="CP61" s="90">
        <f t="shared" ca="1" si="90"/>
        <v>0.10440799353997887</v>
      </c>
      <c r="CQ61" s="90">
        <f t="shared" ca="1" si="90"/>
        <v>0.10347181134556838</v>
      </c>
      <c r="CR61" s="90">
        <f t="shared" ca="1" si="90"/>
        <v>0.10116539631790888</v>
      </c>
      <c r="CS61" s="90">
        <f t="shared" ca="1" si="90"/>
        <v>0.10523459967888549</v>
      </c>
      <c r="CT61" s="98">
        <f t="shared" ca="1" si="90"/>
        <v>0.10348939282706349</v>
      </c>
      <c r="CU61" s="90">
        <f t="shared" ca="1" si="90"/>
        <v>9.6062176683376688E-2</v>
      </c>
      <c r="CV61" s="90">
        <f t="shared" ca="1" si="90"/>
        <v>9.427369248576456E-2</v>
      </c>
      <c r="CW61" s="90">
        <f t="shared" ca="1" si="90"/>
        <v>9.2050909312815898E-2</v>
      </c>
      <c r="CX61" s="90">
        <f t="shared" ca="1" si="90"/>
        <v>9.4526865930989468E-2</v>
      </c>
      <c r="CY61" s="98">
        <f t="shared" ca="1" si="90"/>
        <v>9.4209982400853098E-2</v>
      </c>
      <c r="CZ61" s="97"/>
      <c r="DB61" s="750"/>
      <c r="DC61" s="750"/>
      <c r="DD61" s="721"/>
      <c r="DE61" s="722"/>
      <c r="DF61" s="649"/>
      <c r="DG61" s="750"/>
      <c r="DH61" s="750"/>
      <c r="DI61" s="723"/>
      <c r="DJ61" s="723"/>
      <c r="DK61" s="723"/>
      <c r="DL61" s="723"/>
      <c r="DM61" s="723"/>
      <c r="DN61" s="723"/>
      <c r="DU61" s="173"/>
      <c r="DV61" s="173"/>
      <c r="DW61" s="723"/>
      <c r="DX61" s="723"/>
      <c r="DY61" s="723"/>
      <c r="DZ61" s="723"/>
      <c r="EA61" s="723"/>
      <c r="EG61" s="564"/>
      <c r="EH61" s="858"/>
      <c r="EI61" s="858"/>
      <c r="EJ61" s="858"/>
    </row>
    <row r="62" spans="1:141" ht="13.5" customHeight="1" x14ac:dyDescent="0.2">
      <c r="A62" s="171"/>
      <c r="B62" s="171"/>
      <c r="C62" s="171"/>
      <c r="D62" s="95"/>
      <c r="E62" s="95"/>
      <c r="F62" s="95"/>
      <c r="G62" s="95"/>
      <c r="H62" s="96"/>
      <c r="I62" s="95"/>
      <c r="J62" s="95"/>
      <c r="K62" s="95"/>
      <c r="L62" s="95"/>
      <c r="M62" s="96"/>
      <c r="N62" s="95"/>
      <c r="O62" s="95"/>
      <c r="P62" s="90"/>
      <c r="Q62" s="90"/>
      <c r="R62" s="98"/>
      <c r="S62" s="90"/>
      <c r="T62" s="90"/>
      <c r="U62" s="90"/>
      <c r="V62" s="90"/>
      <c r="W62" s="98"/>
      <c r="X62" s="90"/>
      <c r="Y62" s="90"/>
      <c r="Z62" s="90"/>
      <c r="AA62" s="90"/>
      <c r="AB62" s="98"/>
      <c r="AC62" s="90"/>
      <c r="AD62" s="90"/>
      <c r="AE62" s="90"/>
      <c r="AF62" s="90"/>
      <c r="AG62" s="98"/>
      <c r="AH62" s="90"/>
      <c r="AI62" s="90"/>
      <c r="AJ62" s="90"/>
      <c r="AK62" s="90"/>
      <c r="AL62" s="98"/>
      <c r="AM62" s="90"/>
      <c r="AN62" s="90"/>
      <c r="AO62" s="90"/>
      <c r="AP62" s="90"/>
      <c r="AQ62" s="98"/>
      <c r="AR62" s="90"/>
      <c r="AS62" s="90"/>
      <c r="AT62" s="97"/>
      <c r="AU62" s="90"/>
      <c r="AV62" s="98"/>
      <c r="AW62" s="90"/>
      <c r="AX62" s="90"/>
      <c r="AY62" s="90"/>
      <c r="AZ62" s="90"/>
      <c r="BA62" s="98"/>
      <c r="BB62" s="90"/>
      <c r="BC62" s="90"/>
      <c r="BD62" s="90"/>
      <c r="BE62" s="90"/>
      <c r="BF62" s="98"/>
      <c r="BG62" s="90"/>
      <c r="BH62" s="90"/>
      <c r="BI62" s="90"/>
      <c r="BJ62" s="90"/>
      <c r="BK62" s="98"/>
      <c r="BL62" s="90"/>
      <c r="BM62" s="90"/>
      <c r="BN62" s="90"/>
      <c r="BO62" s="90"/>
      <c r="BP62" s="178"/>
      <c r="BQ62" s="62"/>
      <c r="BR62" s="62"/>
      <c r="BS62" s="62"/>
      <c r="BT62" s="62"/>
      <c r="BU62" s="178"/>
      <c r="BV62" s="62"/>
      <c r="BW62" s="62"/>
      <c r="BX62" s="62"/>
      <c r="BY62" s="62"/>
      <c r="BZ62" s="178"/>
      <c r="CA62" s="62"/>
      <c r="CB62" s="62"/>
      <c r="CC62" s="62"/>
      <c r="CD62" s="62"/>
      <c r="CE62" s="178"/>
      <c r="CF62" s="62"/>
      <c r="CG62" s="62"/>
      <c r="CH62" s="62"/>
      <c r="CI62" s="62"/>
      <c r="CJ62" s="178"/>
      <c r="CK62" s="62"/>
      <c r="CL62" s="62"/>
      <c r="CM62" s="62"/>
      <c r="CN62" s="62"/>
      <c r="CO62" s="178"/>
      <c r="CP62" s="62"/>
      <c r="CQ62" s="62"/>
      <c r="CR62" s="62"/>
      <c r="CS62" s="62"/>
      <c r="CT62" s="178"/>
      <c r="CU62" s="62"/>
      <c r="CV62" s="62"/>
      <c r="CW62" s="62"/>
      <c r="CX62" s="62"/>
      <c r="CY62" s="178"/>
      <c r="CZ62" s="97"/>
      <c r="DB62" s="750"/>
      <c r="DC62" s="750"/>
      <c r="DD62" s="721"/>
      <c r="DE62" s="722"/>
      <c r="DF62" s="721"/>
      <c r="DG62" s="750"/>
      <c r="DH62" s="750"/>
      <c r="DI62" s="723"/>
      <c r="DJ62" s="723"/>
      <c r="DK62" s="723"/>
      <c r="DL62" s="723"/>
      <c r="DM62" s="723"/>
      <c r="DN62" s="723"/>
      <c r="DU62" s="173"/>
      <c r="DV62" s="173"/>
      <c r="DW62" s="723"/>
      <c r="DX62" s="723"/>
      <c r="DY62" s="855"/>
      <c r="DZ62" s="855"/>
      <c r="EA62" s="723"/>
      <c r="EK62" s="720"/>
    </row>
    <row r="63" spans="1:141" ht="13.5" hidden="1" customHeight="1" outlineLevel="1" x14ac:dyDescent="0.2">
      <c r="A63" s="378" t="s">
        <v>272</v>
      </c>
      <c r="B63" s="171"/>
      <c r="C63" s="171"/>
      <c r="D63" s="95"/>
      <c r="E63" s="95"/>
      <c r="F63" s="95"/>
      <c r="G63" s="95"/>
      <c r="H63" s="96"/>
      <c r="I63" s="95"/>
      <c r="J63" s="95"/>
      <c r="K63" s="95"/>
      <c r="L63" s="95"/>
      <c r="M63" s="96"/>
      <c r="N63" s="95"/>
      <c r="O63" s="95"/>
      <c r="P63" s="90"/>
      <c r="Q63" s="90"/>
      <c r="R63" s="98"/>
      <c r="S63" s="90"/>
      <c r="T63" s="90"/>
      <c r="U63" s="90"/>
      <c r="V63" s="90"/>
      <c r="W63" s="98"/>
      <c r="X63" s="90"/>
      <c r="Y63" s="90"/>
      <c r="Z63" s="90"/>
      <c r="AA63" s="90"/>
      <c r="AB63" s="98"/>
      <c r="AC63" s="90"/>
      <c r="AD63" s="90"/>
      <c r="AE63" s="90"/>
      <c r="AF63" s="90"/>
      <c r="AG63" s="98"/>
      <c r="AH63" s="90"/>
      <c r="AI63" s="90"/>
      <c r="AJ63" s="90"/>
      <c r="AK63" s="90"/>
      <c r="AL63" s="98"/>
      <c r="AM63" s="90"/>
      <c r="AN63" s="90"/>
      <c r="AO63" s="90"/>
      <c r="AP63" s="90"/>
      <c r="AQ63" s="98"/>
      <c r="AR63" s="90"/>
      <c r="AS63" s="90"/>
      <c r="AT63" s="97"/>
      <c r="AU63" s="90"/>
      <c r="AV63" s="98"/>
      <c r="AW63" s="90"/>
      <c r="AX63" s="90"/>
      <c r="AY63" s="90"/>
      <c r="AZ63" s="90"/>
      <c r="BA63" s="98"/>
      <c r="BB63" s="90"/>
      <c r="BC63" s="90"/>
      <c r="BD63" s="90"/>
      <c r="BE63" s="387">
        <f>+-BE64*BE48</f>
        <v>-64.688000000000031</v>
      </c>
      <c r="BF63" s="105">
        <v>117.9</v>
      </c>
      <c r="BG63" s="387"/>
      <c r="BH63" s="387"/>
      <c r="BI63" s="387"/>
      <c r="BJ63" s="387"/>
      <c r="BK63" s="105">
        <v>169.5</v>
      </c>
      <c r="BL63" s="387"/>
      <c r="BM63" s="387"/>
      <c r="BN63" s="387"/>
      <c r="BO63" s="387"/>
      <c r="BP63" s="105">
        <v>80.2</v>
      </c>
      <c r="BQ63" s="387">
        <f>+-BQ64*BQ48</f>
        <v>-92.96</v>
      </c>
      <c r="BR63" s="387">
        <f>+-BR64*BR48</f>
        <v>-105.22000000000001</v>
      </c>
      <c r="BS63" s="387">
        <f>+-BS64*BS48</f>
        <v>-96.300000000000011</v>
      </c>
      <c r="BT63" s="387">
        <f>+-BT64*BT48</f>
        <v>-83.720000000000027</v>
      </c>
      <c r="BU63" s="105">
        <f>+SUM(BQ63:BT63)</f>
        <v>-378.20000000000005</v>
      </c>
      <c r="BV63" s="387">
        <f>+-BV64*BV48</f>
        <v>-73.349999999999994</v>
      </c>
      <c r="BW63" s="387">
        <f>+-BW64*BW48</f>
        <v>-78.587500000000034</v>
      </c>
      <c r="BX63" s="387">
        <f>+-BX64*BX48</f>
        <v>-62.612499999999997</v>
      </c>
      <c r="BY63" s="387">
        <f>+-BY64*BY48</f>
        <v>-57.425000000000026</v>
      </c>
      <c r="BZ63" s="105">
        <f>+SUM(BV63:BY63)</f>
        <v>-271.97500000000002</v>
      </c>
      <c r="CA63" s="387">
        <f ca="1">+-CA64*CA48</f>
        <v>-55.325522885314875</v>
      </c>
      <c r="CB63" s="387">
        <f ca="1">+-CB64*CB48</f>
        <v>-62.473715609754706</v>
      </c>
      <c r="CC63" s="387">
        <f ca="1">+-CC64*CC48</f>
        <v>-51.822334266092852</v>
      </c>
      <c r="CD63" s="387">
        <f ca="1">+-CD64*CD48</f>
        <v>-46.132800520232657</v>
      </c>
      <c r="CE63" s="105">
        <f ca="1">+SUM(CA63:CD63)</f>
        <v>-215.75437328139509</v>
      </c>
      <c r="CF63" s="387">
        <f ca="1">+-CF64*CF48</f>
        <v>-78.135431173252201</v>
      </c>
      <c r="CG63" s="387">
        <f ca="1">+-CG64*CG48</f>
        <v>-88.066738708783973</v>
      </c>
      <c r="CH63" s="387">
        <f ca="1">+-CH64*CH48</f>
        <v>-72.699449251459967</v>
      </c>
      <c r="CI63" s="387">
        <f ca="1">+-CI64*CI48</f>
        <v>-64.758591494295459</v>
      </c>
      <c r="CJ63" s="105">
        <f ca="1">+SUM(CF63:CI63)</f>
        <v>-303.66021062779157</v>
      </c>
      <c r="CK63" s="387">
        <f ca="1">+-CK64*CK48</f>
        <v>-87.473181147692742</v>
      </c>
      <c r="CL63" s="387">
        <f ca="1">+-CL64*CL48</f>
        <v>-98.686862795116241</v>
      </c>
      <c r="CM63" s="387">
        <f ca="1">+-CM64*CM48</f>
        <v>-81.237822058812284</v>
      </c>
      <c r="CN63" s="387">
        <f ca="1">+-CN64*CN48</f>
        <v>-72.713995613442364</v>
      </c>
      <c r="CO63" s="105">
        <f ca="1">+SUM(CK63:CN63)</f>
        <v>-340.11186161506362</v>
      </c>
      <c r="CP63" s="387">
        <f ca="1">+-CP64*CP48</f>
        <v>-97.649007711971876</v>
      </c>
      <c r="CQ63" s="387">
        <f ca="1">+-CQ64*CQ48</f>
        <v>-110.14259374453282</v>
      </c>
      <c r="CR63" s="387">
        <f ca="1">+-CR64*CR48</f>
        <v>-90.517049996473759</v>
      </c>
      <c r="CS63" s="387">
        <f ca="1">+-CS64*CS48</f>
        <v>-81.354413977733984</v>
      </c>
      <c r="CT63" s="105">
        <f ca="1">+SUM(CP63:CS63)</f>
        <v>-379.66306543071244</v>
      </c>
      <c r="CU63" s="387">
        <f ca="1">+-CU64*CU48</f>
        <v>-108.25990620797656</v>
      </c>
      <c r="CV63" s="387">
        <f ca="1">+-CV64*CV48</f>
        <v>-121.98664711032816</v>
      </c>
      <c r="CW63" s="387">
        <f ca="1">+-CW64*CW48</f>
        <v>-100.09048382406623</v>
      </c>
      <c r="CX63" s="387">
        <f ca="1">+-CX64*CX48</f>
        <v>-90.203936268353175</v>
      </c>
      <c r="CY63" s="105">
        <f ca="1">+SUM(CU63:CX63)</f>
        <v>-420.54097341072412</v>
      </c>
      <c r="CZ63" s="97"/>
      <c r="DA63" s="490"/>
      <c r="DB63" s="812"/>
      <c r="DC63" s="750"/>
      <c r="DD63" s="721"/>
      <c r="DE63" s="724"/>
      <c r="DF63" s="651"/>
      <c r="DG63" s="762"/>
      <c r="DH63" s="750"/>
      <c r="DI63" s="723"/>
      <c r="DJ63" s="723"/>
      <c r="DK63" s="723"/>
      <c r="DL63" s="723"/>
      <c r="DM63" s="723"/>
      <c r="DN63" s="723"/>
      <c r="DU63" s="173"/>
      <c r="DV63" s="173"/>
      <c r="DW63" s="723"/>
      <c r="DX63" s="723"/>
      <c r="DY63" s="718"/>
      <c r="DZ63" s="723"/>
      <c r="EA63" s="723"/>
      <c r="EG63" s="377"/>
      <c r="EJ63" s="564"/>
      <c r="EK63" s="564"/>
    </row>
    <row r="64" spans="1:141" hidden="1" outlineLevel="1" x14ac:dyDescent="0.2">
      <c r="A64" s="171"/>
      <c r="B64" s="48" t="s">
        <v>273</v>
      </c>
      <c r="C64" s="171"/>
      <c r="D64" s="95"/>
      <c r="E64" s="95"/>
      <c r="F64" s="95"/>
      <c r="G64" s="95"/>
      <c r="H64" s="96"/>
      <c r="I64" s="95"/>
      <c r="J64" s="95"/>
      <c r="K64" s="95"/>
      <c r="L64" s="95"/>
      <c r="M64" s="96"/>
      <c r="N64" s="95"/>
      <c r="O64" s="95"/>
      <c r="P64" s="90"/>
      <c r="Q64" s="90"/>
      <c r="R64" s="98"/>
      <c r="S64" s="90"/>
      <c r="T64" s="90"/>
      <c r="U64" s="90"/>
      <c r="V64" s="90"/>
      <c r="W64" s="98"/>
      <c r="X64" s="90"/>
      <c r="Y64" s="90"/>
      <c r="Z64" s="90"/>
      <c r="AA64" s="90"/>
      <c r="AB64" s="98"/>
      <c r="AC64" s="90"/>
      <c r="AD64" s="90"/>
      <c r="AE64" s="90"/>
      <c r="AF64" s="90"/>
      <c r="AG64" s="98"/>
      <c r="AH64" s="90"/>
      <c r="AI64" s="90"/>
      <c r="AJ64" s="90"/>
      <c r="AK64" s="90"/>
      <c r="AL64" s="98"/>
      <c r="AM64" s="90"/>
      <c r="AN64" s="90"/>
      <c r="AO64" s="90"/>
      <c r="AP64" s="90"/>
      <c r="AQ64" s="98"/>
      <c r="AR64" s="90"/>
      <c r="AS64" s="90"/>
      <c r="AT64" s="97"/>
      <c r="AU64" s="90"/>
      <c r="AV64" s="98"/>
      <c r="AW64" s="90"/>
      <c r="AX64" s="90"/>
      <c r="AY64" s="90"/>
      <c r="AZ64" s="90"/>
      <c r="BA64" s="98"/>
      <c r="BB64" s="90"/>
      <c r="BC64" s="90"/>
      <c r="BD64" s="90"/>
      <c r="BE64" s="388">
        <v>0.26</v>
      </c>
      <c r="BF64" s="559">
        <f>+BF63/BF48</f>
        <v>0.12636655948553052</v>
      </c>
      <c r="BG64" s="388"/>
      <c r="BH64" s="388"/>
      <c r="BI64" s="388"/>
      <c r="BJ64" s="388"/>
      <c r="BK64" s="559">
        <f>+BK63/BK48</f>
        <v>0.13380170508367542</v>
      </c>
      <c r="BL64" s="388"/>
      <c r="BM64" s="388"/>
      <c r="BN64" s="388"/>
      <c r="BO64" s="388"/>
      <c r="BP64" s="559">
        <f>+BP63/BP48</f>
        <v>5.0814167141861509E-2</v>
      </c>
      <c r="BQ64" s="388">
        <v>0.2</v>
      </c>
      <c r="BR64" s="388">
        <v>0.2</v>
      </c>
      <c r="BS64" s="388">
        <v>0.2</v>
      </c>
      <c r="BT64" s="388">
        <v>0.2</v>
      </c>
      <c r="BU64" s="98">
        <f>+-BU63/BU48</f>
        <v>0.2</v>
      </c>
      <c r="BV64" s="388">
        <v>0.125</v>
      </c>
      <c r="BW64" s="388">
        <v>0.125</v>
      </c>
      <c r="BX64" s="388">
        <v>0.125</v>
      </c>
      <c r="BY64" s="388">
        <v>0.125</v>
      </c>
      <c r="BZ64" s="98">
        <f>+-BZ63/BZ48</f>
        <v>0.125</v>
      </c>
      <c r="CA64" s="388">
        <v>0.09</v>
      </c>
      <c r="CB64" s="388">
        <v>0.09</v>
      </c>
      <c r="CC64" s="388">
        <v>0.09</v>
      </c>
      <c r="CD64" s="388">
        <v>0.09</v>
      </c>
      <c r="CE64" s="98">
        <f ca="1">+-CE63/CE48</f>
        <v>9.0000000000000038E-2</v>
      </c>
      <c r="CF64" s="388">
        <v>0.115</v>
      </c>
      <c r="CG64" s="388">
        <v>0.115</v>
      </c>
      <c r="CH64" s="388">
        <v>0.115</v>
      </c>
      <c r="CI64" s="388">
        <v>0.115</v>
      </c>
      <c r="CJ64" s="98">
        <f ca="1">+-CJ63/CJ48</f>
        <v>0.11499999999999999</v>
      </c>
      <c r="CK64" s="388">
        <v>0.12</v>
      </c>
      <c r="CL64" s="388">
        <v>0.12</v>
      </c>
      <c r="CM64" s="388">
        <v>0.12</v>
      </c>
      <c r="CN64" s="388">
        <v>0.12</v>
      </c>
      <c r="CO64" s="98">
        <f ca="1">+-CO63/CO48</f>
        <v>0.11999999999999998</v>
      </c>
      <c r="CP64" s="388">
        <v>0.125</v>
      </c>
      <c r="CQ64" s="388">
        <v>0.125</v>
      </c>
      <c r="CR64" s="388">
        <v>0.125</v>
      </c>
      <c r="CS64" s="388">
        <v>0.125</v>
      </c>
      <c r="CT64" s="98">
        <f ca="1">+-CT63/CT48</f>
        <v>0.12499999999999993</v>
      </c>
      <c r="CU64" s="388">
        <v>0.13</v>
      </c>
      <c r="CV64" s="388">
        <v>0.13</v>
      </c>
      <c r="CW64" s="388">
        <v>0.13</v>
      </c>
      <c r="CX64" s="388">
        <v>0.13</v>
      </c>
      <c r="CY64" s="98">
        <f ca="1">+-CY63/CY48</f>
        <v>0.13000000000000003</v>
      </c>
      <c r="CZ64" s="97"/>
      <c r="DA64" s="813"/>
      <c r="DB64" s="814"/>
      <c r="DC64" s="750"/>
      <c r="DD64" s="721"/>
      <c r="DE64" s="724"/>
      <c r="DF64" s="720"/>
      <c r="DG64" s="750"/>
      <c r="DH64" s="750"/>
      <c r="DI64" s="723"/>
      <c r="DJ64" s="723"/>
      <c r="DK64" s="723"/>
      <c r="DL64" s="723"/>
      <c r="DM64" s="723"/>
      <c r="DN64" s="723"/>
      <c r="DU64" s="173"/>
      <c r="DV64" s="173"/>
      <c r="DW64" s="723"/>
      <c r="DX64" s="723"/>
      <c r="DY64" s="723"/>
      <c r="DZ64" s="723"/>
      <c r="EA64" s="723"/>
      <c r="EI64" s="490"/>
      <c r="EJ64" s="490"/>
      <c r="EK64" s="767"/>
    </row>
    <row r="65" spans="1:143" ht="14.25" hidden="1" customHeight="1" outlineLevel="1" x14ac:dyDescent="0.2">
      <c r="A65" s="171"/>
      <c r="B65" s="48"/>
      <c r="C65" s="171"/>
      <c r="D65" s="95"/>
      <c r="E65" s="95"/>
      <c r="F65" s="95"/>
      <c r="G65" s="95"/>
      <c r="H65" s="96"/>
      <c r="I65" s="95"/>
      <c r="J65" s="95"/>
      <c r="K65" s="95"/>
      <c r="L65" s="95"/>
      <c r="M65" s="96"/>
      <c r="N65" s="95"/>
      <c r="O65" s="95"/>
      <c r="P65" s="90"/>
      <c r="Q65" s="90"/>
      <c r="R65" s="98"/>
      <c r="S65" s="90"/>
      <c r="T65" s="90"/>
      <c r="U65" s="90"/>
      <c r="V65" s="90"/>
      <c r="W65" s="98"/>
      <c r="X65" s="90"/>
      <c r="Y65" s="90"/>
      <c r="Z65" s="90"/>
      <c r="AA65" s="90"/>
      <c r="AB65" s="98"/>
      <c r="AC65" s="90"/>
      <c r="AD65" s="90"/>
      <c r="AE65" s="90"/>
      <c r="AF65" s="90"/>
      <c r="AG65" s="98"/>
      <c r="AH65" s="90"/>
      <c r="AI65" s="90"/>
      <c r="AJ65" s="90"/>
      <c r="AK65" s="90"/>
      <c r="AL65" s="98"/>
      <c r="AM65" s="90"/>
      <c r="AN65" s="90"/>
      <c r="AO65" s="90"/>
      <c r="AP65" s="90"/>
      <c r="AQ65" s="98"/>
      <c r="AR65" s="90"/>
      <c r="AS65" s="90"/>
      <c r="AT65" s="97"/>
      <c r="AU65" s="90"/>
      <c r="AV65" s="98"/>
      <c r="AW65" s="90"/>
      <c r="AX65" s="90"/>
      <c r="AY65" s="90"/>
      <c r="AZ65" s="90"/>
      <c r="BA65" s="98"/>
      <c r="BB65" s="90"/>
      <c r="BC65" s="90"/>
      <c r="BD65" s="90"/>
      <c r="BE65" s="389"/>
      <c r="BF65" s="98"/>
      <c r="BG65" s="389"/>
      <c r="BH65" s="389"/>
      <c r="BI65" s="389"/>
      <c r="BJ65" s="389"/>
      <c r="BK65" s="98"/>
      <c r="BL65" s="389"/>
      <c r="BM65" s="389"/>
      <c r="BN65" s="389"/>
      <c r="BO65" s="163"/>
      <c r="BP65" s="162"/>
      <c r="BQ65" s="163"/>
      <c r="BR65" s="163"/>
      <c r="BS65" s="163"/>
      <c r="BT65" s="163"/>
      <c r="BU65" s="162"/>
      <c r="BV65" s="389"/>
      <c r="BW65" s="389"/>
      <c r="BX65" s="389"/>
      <c r="BY65" s="389"/>
      <c r="BZ65" s="530"/>
      <c r="CA65" s="587"/>
      <c r="CB65" s="389"/>
      <c r="CC65" s="389"/>
      <c r="CD65" s="587"/>
      <c r="CE65" s="98"/>
      <c r="CF65" s="389"/>
      <c r="CG65" s="389"/>
      <c r="CH65" s="389"/>
      <c r="CI65" s="389"/>
      <c r="CJ65" s="98"/>
      <c r="CK65" s="389"/>
      <c r="CL65" s="389"/>
      <c r="CM65" s="389"/>
      <c r="CN65" s="389"/>
      <c r="CO65" s="98"/>
      <c r="CP65" s="389"/>
      <c r="CQ65" s="389"/>
      <c r="CR65" s="389"/>
      <c r="CS65" s="389"/>
      <c r="CT65" s="98"/>
      <c r="CU65" s="389"/>
      <c r="CV65" s="389"/>
      <c r="CW65" s="389"/>
      <c r="CX65" s="389"/>
      <c r="CY65" s="98"/>
      <c r="CZ65" s="97"/>
      <c r="DB65" s="814"/>
      <c r="DC65" s="814"/>
      <c r="DD65" s="649"/>
      <c r="DE65" s="725"/>
      <c r="DF65" s="490"/>
      <c r="DG65" s="726"/>
      <c r="DH65" s="726"/>
      <c r="DI65" s="726"/>
      <c r="DJ65" s="726"/>
      <c r="DK65" s="726"/>
      <c r="DL65" s="726"/>
      <c r="DM65" s="726"/>
      <c r="DN65" s="726"/>
      <c r="DU65" s="532"/>
      <c r="DV65" s="532"/>
      <c r="DW65" s="726"/>
      <c r="DX65" s="723"/>
      <c r="DY65" s="723"/>
      <c r="DZ65" s="723"/>
      <c r="EA65" s="723"/>
      <c r="EB65" s="564"/>
      <c r="EH65" s="649"/>
      <c r="EI65" s="490"/>
      <c r="EJ65" s="490"/>
      <c r="EK65" s="767"/>
    </row>
    <row r="66" spans="1:143" ht="14.25" hidden="1" customHeight="1" outlineLevel="1" x14ac:dyDescent="0.2">
      <c r="A66" s="378" t="s">
        <v>274</v>
      </c>
      <c r="B66" s="48"/>
      <c r="C66" s="171"/>
      <c r="D66" s="95"/>
      <c r="E66" s="95"/>
      <c r="F66" s="95"/>
      <c r="G66" s="95"/>
      <c r="H66" s="96"/>
      <c r="I66" s="95"/>
      <c r="J66" s="95"/>
      <c r="K66" s="95"/>
      <c r="L66" s="95"/>
      <c r="M66" s="96"/>
      <c r="N66" s="95"/>
      <c r="O66" s="95"/>
      <c r="P66" s="90"/>
      <c r="Q66" s="90"/>
      <c r="R66" s="98"/>
      <c r="S66" s="90"/>
      <c r="T66" s="90"/>
      <c r="U66" s="90"/>
      <c r="V66" s="90"/>
      <c r="W66" s="98"/>
      <c r="X66" s="90"/>
      <c r="Y66" s="90"/>
      <c r="Z66" s="90"/>
      <c r="AA66" s="90"/>
      <c r="AB66" s="98"/>
      <c r="AC66" s="90"/>
      <c r="AD66" s="90"/>
      <c r="AE66" s="90"/>
      <c r="AF66" s="90"/>
      <c r="AG66" s="98"/>
      <c r="AH66" s="90"/>
      <c r="AI66" s="90"/>
      <c r="AJ66" s="90"/>
      <c r="AK66" s="90"/>
      <c r="AL66" s="98"/>
      <c r="AM66" s="90"/>
      <c r="AN66" s="90"/>
      <c r="AO66" s="90"/>
      <c r="AP66" s="90"/>
      <c r="AQ66" s="98"/>
      <c r="AR66" s="90"/>
      <c r="AS66" s="90"/>
      <c r="AT66" s="97"/>
      <c r="AU66" s="90"/>
      <c r="AV66" s="98"/>
      <c r="AW66" s="90"/>
      <c r="AX66" s="90"/>
      <c r="AY66" s="90"/>
      <c r="AZ66" s="90"/>
      <c r="BA66" s="98"/>
      <c r="BB66" s="90"/>
      <c r="BC66" s="90"/>
      <c r="BD66" s="90"/>
      <c r="BE66" s="390">
        <f t="shared" ref="BE66:BP66" si="91">+(BE48+BE63)/BE78</f>
        <v>0.92443801748334298</v>
      </c>
      <c r="BF66" s="161">
        <f t="shared" si="91"/>
        <v>5.3191273978842961</v>
      </c>
      <c r="BG66" s="390">
        <f t="shared" si="91"/>
        <v>1.5906527316104175</v>
      </c>
      <c r="BH66" s="390">
        <f t="shared" si="91"/>
        <v>1.6324701195219111</v>
      </c>
      <c r="BI66" s="390">
        <f t="shared" si="91"/>
        <v>1.7413899322323578</v>
      </c>
      <c r="BJ66" s="390">
        <f t="shared" si="91"/>
        <v>1.3342828600536087</v>
      </c>
      <c r="BK66" s="161">
        <f t="shared" si="91"/>
        <v>7.1400874925432491</v>
      </c>
      <c r="BL66" s="390">
        <f t="shared" si="91"/>
        <v>1.861921076631091</v>
      </c>
      <c r="BM66" s="390">
        <f t="shared" si="91"/>
        <v>2.0865540839938959</v>
      </c>
      <c r="BN66" s="390">
        <f t="shared" si="91"/>
        <v>2.0946025399811852</v>
      </c>
      <c r="BO66" s="390">
        <f t="shared" si="91"/>
        <v>1.702316378398663</v>
      </c>
      <c r="BP66" s="161">
        <f t="shared" si="91"/>
        <v>8.1373612085588238</v>
      </c>
      <c r="BQ66" s="390">
        <f>+(BQ48+BQ63+BQ56)/BQ78</f>
        <v>1.8067124450905057</v>
      </c>
      <c r="BR66" s="390">
        <f t="shared" ref="BR66:BX66" si="92">+(BR48+BR63+BR56)/BR78</f>
        <v>2.074251573874486</v>
      </c>
      <c r="BS66" s="390">
        <f t="shared" si="92"/>
        <v>1.8792391480996686</v>
      </c>
      <c r="BT66" s="390">
        <f t="shared" si="92"/>
        <v>1.6259731422739012</v>
      </c>
      <c r="BU66" s="161">
        <f t="shared" si="92"/>
        <v>7.3920009407199467</v>
      </c>
      <c r="BV66" s="390">
        <f t="shared" si="92"/>
        <v>2.54166044868925</v>
      </c>
      <c r="BW66" s="390">
        <f t="shared" si="92"/>
        <v>2.7197585251259033</v>
      </c>
      <c r="BX66" s="390">
        <f t="shared" si="92"/>
        <v>2.1607216530716729</v>
      </c>
      <c r="BY66" s="390">
        <f t="shared" ref="BY66:CY66" si="93">+(BY48+BY63+BY56)/BY78</f>
        <v>1.9984310305071842</v>
      </c>
      <c r="BZ66" s="161">
        <f t="shared" si="93"/>
        <v>9.4237323593762259</v>
      </c>
      <c r="CA66" s="390">
        <f t="shared" ca="1" si="93"/>
        <v>2.8183446887841086</v>
      </c>
      <c r="CB66" s="390">
        <f t="shared" ca="1" si="93"/>
        <v>3.2008769172485536</v>
      </c>
      <c r="CC66" s="390">
        <f ca="1">+(CC48+CC63+CC56)/CC78</f>
        <v>2.6670375978235241</v>
      </c>
      <c r="CD66" s="390">
        <f ca="1">+(CD48+CD63+CD56)/CD78</f>
        <v>2.383175438343438</v>
      </c>
      <c r="CE66" s="161">
        <f t="shared" ca="1" si="93"/>
        <v>11.074191873780507</v>
      </c>
      <c r="CF66" s="390">
        <f t="shared" ca="1" si="93"/>
        <v>3.0853852872864849</v>
      </c>
      <c r="CG66" s="390">
        <f t="shared" ca="1" si="93"/>
        <v>3.5098650487741456</v>
      </c>
      <c r="CH66" s="390">
        <f t="shared" ca="1" si="93"/>
        <v>2.9182031397154216</v>
      </c>
      <c r="CI66" s="390">
        <f t="shared" ca="1" si="93"/>
        <v>2.61660589380143</v>
      </c>
      <c r="CJ66" s="161">
        <f t="shared" ca="1" si="93"/>
        <v>12.138395899766445</v>
      </c>
      <c r="CK66" s="390">
        <f t="shared" ca="1" si="93"/>
        <v>3.3994292471104663</v>
      </c>
      <c r="CL66" s="390">
        <f t="shared" ca="1" si="93"/>
        <v>3.8684841170872497</v>
      </c>
      <c r="CM66" s="390">
        <f t="shared" ca="1" si="93"/>
        <v>3.2059040610432175</v>
      </c>
      <c r="CN66" s="390">
        <f t="shared" ca="1" si="93"/>
        <v>2.8871979943660531</v>
      </c>
      <c r="CO66" s="161">
        <f t="shared" ca="1" si="93"/>
        <v>13.369600246873526</v>
      </c>
      <c r="CP66" s="390">
        <f t="shared" ca="1" si="93"/>
        <v>3.7326716221513001</v>
      </c>
      <c r="CQ66" s="390">
        <f t="shared" ca="1" si="93"/>
        <v>4.2441534895259352</v>
      </c>
      <c r="CR66" s="390">
        <f t="shared" ca="1" si="93"/>
        <v>3.5098187016023035</v>
      </c>
      <c r="CS66" s="390">
        <f t="shared" ca="1" si="93"/>
        <v>3.1725322335282007</v>
      </c>
      <c r="CT66" s="161">
        <f t="shared" ca="1" si="93"/>
        <v>14.667957202673506</v>
      </c>
      <c r="CU66" s="390">
        <f t="shared" ca="1" si="93"/>
        <v>4.0675248417112728</v>
      </c>
      <c r="CV66" s="390">
        <f t="shared" ca="1" si="93"/>
        <v>4.6173906476545961</v>
      </c>
      <c r="CW66" s="390">
        <f t="shared" ca="1" si="93"/>
        <v>3.8106637363545985</v>
      </c>
      <c r="CX66" s="390">
        <f t="shared" ca="1" si="93"/>
        <v>3.4522351776399489</v>
      </c>
      <c r="CY66" s="161">
        <f t="shared" ca="1" si="93"/>
        <v>15.956760313366228</v>
      </c>
      <c r="CZ66" s="97"/>
      <c r="DB66" s="750"/>
      <c r="DC66" s="815"/>
      <c r="DD66" s="649"/>
      <c r="DE66" s="725"/>
      <c r="DF66" s="490"/>
      <c r="DG66" s="726"/>
      <c r="DH66" s="720"/>
      <c r="DI66" s="720"/>
      <c r="DJ66" s="720"/>
      <c r="DK66" s="720"/>
      <c r="DL66" s="720"/>
      <c r="DM66" s="720"/>
      <c r="DN66" s="720"/>
      <c r="DU66" s="422"/>
      <c r="DV66" s="422"/>
      <c r="DW66" s="720"/>
      <c r="DX66" s="723"/>
      <c r="DY66" s="723"/>
      <c r="DZ66" s="723"/>
      <c r="EA66" s="723"/>
      <c r="EH66" s="723"/>
      <c r="EI66" s="858"/>
      <c r="EJ66" s="858"/>
      <c r="EK66" s="858"/>
    </row>
    <row r="67" spans="1:143" hidden="1" outlineLevel="1" x14ac:dyDescent="0.2">
      <c r="A67" s="171" t="s">
        <v>221</v>
      </c>
      <c r="B67" s="171"/>
      <c r="C67" s="171"/>
      <c r="D67" s="95"/>
      <c r="E67" s="95"/>
      <c r="F67" s="95"/>
      <c r="G67" s="95"/>
      <c r="H67" s="96"/>
      <c r="I67" s="95"/>
      <c r="J67" s="95"/>
      <c r="K67" s="95"/>
      <c r="L67" s="95"/>
      <c r="M67" s="96"/>
      <c r="N67" s="95"/>
      <c r="O67" s="95"/>
      <c r="P67" s="90"/>
      <c r="Q67" s="90"/>
      <c r="R67" s="98"/>
      <c r="S67" s="90"/>
      <c r="T67" s="90"/>
      <c r="U67" s="90"/>
      <c r="V67" s="90"/>
      <c r="W67" s="98"/>
      <c r="X67" s="90"/>
      <c r="Y67" s="90"/>
      <c r="Z67" s="90"/>
      <c r="AA67" s="90"/>
      <c r="AB67" s="98"/>
      <c r="AC67" s="90"/>
      <c r="AD67" s="90"/>
      <c r="AE67" s="90"/>
      <c r="AF67" s="90"/>
      <c r="AG67" s="98"/>
      <c r="AH67" s="90"/>
      <c r="AI67" s="90"/>
      <c r="AJ67" s="90"/>
      <c r="AK67" s="90"/>
      <c r="AL67" s="98"/>
      <c r="AM67" s="90"/>
      <c r="AN67" s="90"/>
      <c r="AO67" s="90"/>
      <c r="AP67" s="90"/>
      <c r="AQ67" s="98"/>
      <c r="AR67" s="90"/>
      <c r="AS67" s="90"/>
      <c r="AT67" s="97"/>
      <c r="AU67" s="90"/>
      <c r="AV67" s="98"/>
      <c r="AW67" s="90"/>
      <c r="AX67" s="90"/>
      <c r="AY67" s="90"/>
      <c r="AZ67" s="90"/>
      <c r="BA67" s="98"/>
      <c r="BB67" s="90"/>
      <c r="BC67" s="90"/>
      <c r="BD67" s="90"/>
      <c r="BE67" s="90"/>
      <c r="BF67" s="98"/>
      <c r="BG67" s="90"/>
      <c r="BH67" s="90"/>
      <c r="BI67" s="90"/>
      <c r="BJ67" s="90"/>
      <c r="BK67" s="98"/>
      <c r="BL67" s="90"/>
      <c r="BM67" s="90"/>
      <c r="BN67" s="397"/>
      <c r="BO67" s="398"/>
      <c r="BP67" s="574"/>
      <c r="BQ67" s="90"/>
      <c r="BR67" s="90"/>
      <c r="BS67" s="90"/>
      <c r="BT67" s="318"/>
      <c r="BU67" s="98"/>
      <c r="BV67" s="318"/>
      <c r="BW67" s="318"/>
      <c r="BX67" s="608"/>
      <c r="BY67" s="608"/>
      <c r="BZ67" s="612"/>
      <c r="CA67" s="90"/>
      <c r="CB67" s="397"/>
      <c r="CC67" s="90"/>
      <c r="CD67" s="90"/>
      <c r="CE67" s="612"/>
      <c r="CF67" s="88"/>
      <c r="CG67" s="397"/>
      <c r="CH67" s="90"/>
      <c r="CI67" s="90"/>
      <c r="CJ67" s="98"/>
      <c r="CK67" s="90"/>
      <c r="CL67" s="90"/>
      <c r="CM67" s="90"/>
      <c r="CN67" s="90"/>
      <c r="CO67" s="98"/>
      <c r="CP67" s="90"/>
      <c r="CQ67" s="90"/>
      <c r="CR67" s="90"/>
      <c r="CS67" s="90"/>
      <c r="CT67" s="98"/>
      <c r="CU67" s="90"/>
      <c r="CV67" s="90"/>
      <c r="CW67" s="90"/>
      <c r="CX67" s="90"/>
      <c r="CY67" s="98"/>
      <c r="CZ67" s="97"/>
      <c r="DA67" s="813"/>
      <c r="DB67" s="815"/>
      <c r="DC67" s="750"/>
      <c r="DD67" s="649"/>
      <c r="DE67" s="725"/>
      <c r="DF67" s="490"/>
      <c r="DG67" s="726"/>
      <c r="DI67" s="813"/>
      <c r="DJ67" s="813"/>
      <c r="DK67" s="813"/>
      <c r="DL67" s="813"/>
      <c r="DM67" s="813"/>
      <c r="DN67" s="813"/>
      <c r="DU67" s="35"/>
      <c r="DV67" s="35"/>
      <c r="DW67" s="813"/>
      <c r="DX67" s="723"/>
      <c r="DY67" s="723"/>
      <c r="DZ67" s="723"/>
      <c r="EA67" s="723"/>
      <c r="EC67" s="928"/>
      <c r="ED67" s="929"/>
      <c r="EE67" s="856"/>
      <c r="EF67" s="649"/>
      <c r="EK67" s="932"/>
      <c r="EL67" s="932"/>
      <c r="EM67" s="932"/>
    </row>
    <row r="68" spans="1:143" hidden="1" outlineLevel="1" x14ac:dyDescent="0.2">
      <c r="A68" s="177" t="s">
        <v>87</v>
      </c>
      <c r="B68" s="177"/>
      <c r="C68" s="171"/>
      <c r="D68" s="62">
        <v>0</v>
      </c>
      <c r="E68" s="62">
        <v>0</v>
      </c>
      <c r="F68" s="62">
        <v>0</v>
      </c>
      <c r="G68" s="62">
        <v>0</v>
      </c>
      <c r="H68" s="178">
        <v>0</v>
      </c>
      <c r="I68" s="62">
        <f>+M68-L68-K68-J68</f>
        <v>0</v>
      </c>
      <c r="J68" s="62">
        <v>0</v>
      </c>
      <c r="K68" s="62">
        <v>0</v>
      </c>
      <c r="L68" s="62">
        <v>-6.24</v>
      </c>
      <c r="M68" s="178">
        <v>-6.24</v>
      </c>
      <c r="N68" s="62">
        <v>-4.5999999999999996</v>
      </c>
      <c r="O68" s="62">
        <v>-4.0999999999999996</v>
      </c>
      <c r="P68" s="62">
        <v>-3.8</v>
      </c>
      <c r="Q68" s="62">
        <v>-2.1</v>
      </c>
      <c r="R68" s="141">
        <v>-14.6</v>
      </c>
      <c r="S68" s="62">
        <v>0</v>
      </c>
      <c r="T68" s="62">
        <v>0</v>
      </c>
      <c r="U68" s="62">
        <v>0</v>
      </c>
      <c r="V68" s="62">
        <v>0</v>
      </c>
      <c r="W68" s="141">
        <v>0</v>
      </c>
      <c r="X68" s="62">
        <v>0</v>
      </c>
      <c r="Y68" s="62">
        <v>0</v>
      </c>
      <c r="Z68" s="62">
        <v>0</v>
      </c>
      <c r="AA68" s="62">
        <v>0</v>
      </c>
      <c r="AB68" s="141">
        <v>0</v>
      </c>
      <c r="AC68" s="62">
        <v>0</v>
      </c>
      <c r="AD68" s="62">
        <v>0</v>
      </c>
      <c r="AE68" s="62">
        <v>0</v>
      </c>
      <c r="AF68" s="62">
        <v>0</v>
      </c>
      <c r="AG68" s="141">
        <v>0</v>
      </c>
      <c r="AH68" s="62">
        <v>0</v>
      </c>
      <c r="AI68" s="62">
        <v>0</v>
      </c>
      <c r="AJ68" s="62">
        <v>0</v>
      </c>
      <c r="AK68" s="62">
        <v>0</v>
      </c>
      <c r="AL68" s="141">
        <f>+AH68+AI68+AJ68+AK68</f>
        <v>0</v>
      </c>
      <c r="AM68" s="62">
        <v>0</v>
      </c>
      <c r="AN68" s="62">
        <v>0</v>
      </c>
      <c r="AO68" s="62">
        <f>AQ68-AP68-AN68-AM68</f>
        <v>0</v>
      </c>
      <c r="AP68" s="62">
        <v>0</v>
      </c>
      <c r="AQ68" s="141">
        <v>0</v>
      </c>
      <c r="AR68" s="62">
        <v>0</v>
      </c>
      <c r="AS68" s="62">
        <v>0</v>
      </c>
      <c r="AT68" s="179">
        <v>0</v>
      </c>
      <c r="AU68" s="179">
        <v>0</v>
      </c>
      <c r="AV68" s="141">
        <f>SUM(AR68:AU68)</f>
        <v>0</v>
      </c>
      <c r="AW68" s="179">
        <v>0</v>
      </c>
      <c r="AX68" s="179">
        <v>0</v>
      </c>
      <c r="AY68" s="179">
        <v>0</v>
      </c>
      <c r="AZ68" s="179">
        <v>0</v>
      </c>
      <c r="BA68" s="141">
        <f>SUM(AW68:AZ68)</f>
        <v>0</v>
      </c>
      <c r="BB68" s="62"/>
      <c r="BC68" s="62"/>
      <c r="BD68" s="62"/>
      <c r="BE68" s="62"/>
      <c r="BF68" s="141"/>
      <c r="BG68" s="62"/>
      <c r="BH68" s="62"/>
      <c r="BI68" s="62"/>
      <c r="BJ68" s="62"/>
      <c r="BK68" s="141"/>
      <c r="BL68" s="62"/>
      <c r="BM68" s="62"/>
      <c r="BN68" s="385"/>
      <c r="BO68" s="605"/>
      <c r="BP68" s="141"/>
      <c r="BQ68" s="90"/>
      <c r="BR68" s="62"/>
      <c r="BS68" s="62"/>
      <c r="BT68" s="62"/>
      <c r="BU68" s="141"/>
      <c r="BV68" s="62"/>
      <c r="BW68" s="62"/>
      <c r="BX68" s="608"/>
      <c r="BY68" s="608"/>
      <c r="BZ68" s="233"/>
      <c r="CA68" s="619"/>
      <c r="CB68" s="621"/>
      <c r="CC68" s="619"/>
      <c r="CD68" s="619"/>
      <c r="CE68" s="530"/>
      <c r="CF68" s="277"/>
      <c r="CG68" s="95"/>
      <c r="CH68" s="62"/>
      <c r="CI68" s="62"/>
      <c r="CJ68" s="199"/>
      <c r="CK68" s="62"/>
      <c r="CL68" s="62"/>
      <c r="CM68" s="62"/>
      <c r="CN68" s="62"/>
      <c r="CO68" s="199"/>
      <c r="CP68" s="62"/>
      <c r="CQ68" s="62"/>
      <c r="CR68" s="62"/>
      <c r="CS68" s="62"/>
      <c r="CT68" s="199"/>
      <c r="CU68" s="62"/>
      <c r="CV68" s="62"/>
      <c r="CW68" s="62"/>
      <c r="CX68" s="62"/>
      <c r="CY68" s="199"/>
      <c r="CZ68" s="142"/>
      <c r="DA68" s="816"/>
      <c r="DB68" s="812"/>
      <c r="DC68" s="735"/>
      <c r="DD68" s="727"/>
      <c r="DE68" s="725"/>
      <c r="DF68" s="490"/>
      <c r="DG68" s="726"/>
      <c r="DX68" s="723"/>
      <c r="DY68" s="723"/>
      <c r="DZ68" s="723"/>
      <c r="EA68" s="723"/>
      <c r="EB68" s="564"/>
      <c r="EC68" s="720"/>
      <c r="ED68" s="735"/>
      <c r="EE68" s="824"/>
      <c r="EF68" s="850"/>
      <c r="EG68" s="857"/>
      <c r="EH68" s="723"/>
      <c r="EK68" s="665"/>
      <c r="EL68" s="665"/>
      <c r="EM68" s="665"/>
    </row>
    <row r="69" spans="1:143" hidden="1" outlineLevel="1" x14ac:dyDescent="0.2">
      <c r="A69" s="177" t="s">
        <v>88</v>
      </c>
      <c r="B69" s="177"/>
      <c r="C69" s="171"/>
      <c r="D69" s="62">
        <v>-3.5309999999999997</v>
      </c>
      <c r="E69" s="62">
        <v>-5.7709999999999999</v>
      </c>
      <c r="F69" s="62">
        <v>-1.74</v>
      </c>
      <c r="G69" s="62">
        <v>-3.34</v>
      </c>
      <c r="H69" s="178">
        <v>-14.382</v>
      </c>
      <c r="I69" s="62">
        <v>-0.82899999999999996</v>
      </c>
      <c r="J69" s="62">
        <v>-0.622</v>
      </c>
      <c r="K69" s="62">
        <v>-1.21</v>
      </c>
      <c r="L69" s="62">
        <v>-1.5</v>
      </c>
      <c r="M69" s="178">
        <v>-4.1399999999999997</v>
      </c>
      <c r="N69" s="62">
        <v>-2</v>
      </c>
      <c r="O69" s="62">
        <v>-2.5</v>
      </c>
      <c r="P69" s="62">
        <v>-3.1</v>
      </c>
      <c r="Q69" s="62">
        <v>-5.8</v>
      </c>
      <c r="R69" s="141">
        <v>-13.5</v>
      </c>
      <c r="S69" s="62">
        <v>-0.8</v>
      </c>
      <c r="T69" s="62">
        <v>-4</v>
      </c>
      <c r="U69" s="62">
        <v>-12.5</v>
      </c>
      <c r="V69" s="62">
        <v>-3.9</v>
      </c>
      <c r="W69" s="141">
        <v>-21.2</v>
      </c>
      <c r="X69" s="62">
        <v>-2</v>
      </c>
      <c r="Y69" s="62">
        <v>-1.4</v>
      </c>
      <c r="Z69" s="62">
        <v>-2.4</v>
      </c>
      <c r="AA69" s="62">
        <v>-2.1</v>
      </c>
      <c r="AB69" s="141">
        <v>-7.9</v>
      </c>
      <c r="AC69" s="62">
        <v>-3.9</v>
      </c>
      <c r="AD69" s="62">
        <v>-2.7</v>
      </c>
      <c r="AE69" s="62">
        <f>+AG69-AF69-AC69-AD69</f>
        <v>-3.799999999999998</v>
      </c>
      <c r="AF69" s="62">
        <v>-3.3</v>
      </c>
      <c r="AG69" s="178">
        <v>-13.7</v>
      </c>
      <c r="AH69" s="104">
        <v>-1.6</v>
      </c>
      <c r="AI69" s="104">
        <v>-1.6</v>
      </c>
      <c r="AJ69" s="104">
        <v>-1.2</v>
      </c>
      <c r="AK69" s="104">
        <v>-0.7</v>
      </c>
      <c r="AL69" s="141">
        <f>+AH69+AI69+AJ69+AK69</f>
        <v>-5.1000000000000005</v>
      </c>
      <c r="AM69" s="104">
        <v>-0.6</v>
      </c>
      <c r="AN69" s="104">
        <v>-0.3</v>
      </c>
      <c r="AO69" s="104">
        <f>AQ69-AP69-AN69-AM69</f>
        <v>-0.29999999999999993</v>
      </c>
      <c r="AP69" s="104">
        <v>-0.2</v>
      </c>
      <c r="AQ69" s="141">
        <v>-1.4</v>
      </c>
      <c r="AR69" s="104">
        <v>0</v>
      </c>
      <c r="AS69" s="104">
        <v>0</v>
      </c>
      <c r="AT69" s="106">
        <v>0</v>
      </c>
      <c r="AU69" s="106">
        <v>0</v>
      </c>
      <c r="AV69" s="141">
        <f>SUM(AR69:AU69)</f>
        <v>0</v>
      </c>
      <c r="AW69" s="106">
        <v>0</v>
      </c>
      <c r="AX69" s="106">
        <v>0</v>
      </c>
      <c r="AY69" s="106">
        <v>0</v>
      </c>
      <c r="AZ69" s="106">
        <v>0</v>
      </c>
      <c r="BA69" s="141">
        <f>SUM(AW69:AZ69)</f>
        <v>0</v>
      </c>
      <c r="BB69" s="90"/>
      <c r="BC69" s="90"/>
      <c r="BD69" s="90"/>
      <c r="BE69" s="90"/>
      <c r="BF69" s="178"/>
      <c r="BG69" s="90"/>
      <c r="BH69" s="90"/>
      <c r="BI69" s="90"/>
      <c r="BJ69" s="90"/>
      <c r="BK69" s="178"/>
      <c r="BL69" s="90"/>
      <c r="BM69" s="90"/>
      <c r="BN69" s="538"/>
      <c r="BO69" s="538"/>
      <c r="BP69" s="539"/>
      <c r="BQ69" s="90"/>
      <c r="BR69" s="90"/>
      <c r="BS69" s="90"/>
      <c r="BT69" s="90"/>
      <c r="BU69" s="537"/>
      <c r="BV69" s="90"/>
      <c r="BW69" s="90"/>
      <c r="BX69" s="88"/>
      <c r="BY69" s="88"/>
      <c r="BZ69" s="537"/>
      <c r="CA69" s="88"/>
      <c r="CB69" s="621"/>
      <c r="CC69" s="88"/>
      <c r="CD69" s="88"/>
      <c r="CE69" s="91"/>
      <c r="CF69" s="90"/>
      <c r="CG69" s="90"/>
      <c r="CH69" s="90"/>
      <c r="CI69" s="90"/>
      <c r="CJ69" s="91"/>
      <c r="CK69" s="90"/>
      <c r="CL69" s="90"/>
      <c r="CM69" s="90"/>
      <c r="CN69" s="90"/>
      <c r="CO69" s="178"/>
      <c r="CP69" s="90"/>
      <c r="CQ69" s="90"/>
      <c r="CR69" s="90"/>
      <c r="CS69" s="90"/>
      <c r="CT69" s="178"/>
      <c r="CU69" s="90"/>
      <c r="CV69" s="90"/>
      <c r="CW69" s="90"/>
      <c r="CX69" s="90"/>
      <c r="CY69" s="178"/>
      <c r="CZ69" s="179"/>
      <c r="DA69" s="649"/>
      <c r="DB69" s="817"/>
      <c r="DC69" s="736"/>
      <c r="DD69" s="721"/>
      <c r="DE69" s="722"/>
      <c r="DX69" s="723"/>
      <c r="DY69" s="723"/>
      <c r="DZ69" s="723"/>
      <c r="EA69" s="723"/>
      <c r="EB69" s="564"/>
      <c r="EC69" s="720"/>
      <c r="ED69" s="308"/>
      <c r="EE69" s="817"/>
      <c r="EF69" s="850"/>
      <c r="EH69" s="564"/>
      <c r="EI69" s="564"/>
      <c r="EJ69" s="564"/>
      <c r="EK69" s="665"/>
      <c r="EL69" s="9"/>
      <c r="EM69" s="665"/>
    </row>
    <row r="70" spans="1:143" hidden="1" outlineLevel="1" x14ac:dyDescent="0.2">
      <c r="A70" s="177" t="s">
        <v>89</v>
      </c>
      <c r="B70" s="177"/>
      <c r="C70" s="171"/>
      <c r="D70" s="62">
        <v>-1.482</v>
      </c>
      <c r="E70" s="62">
        <v>-10.933</v>
      </c>
      <c r="F70" s="62">
        <v>-5.1749999999999998</v>
      </c>
      <c r="G70" s="62">
        <v>-2.347</v>
      </c>
      <c r="H70" s="178">
        <v>-19.939</v>
      </c>
      <c r="I70" s="62">
        <v>-1.032</v>
      </c>
      <c r="J70" s="62">
        <v>-0.748</v>
      </c>
      <c r="K70" s="62">
        <v>-1.052</v>
      </c>
      <c r="L70" s="62">
        <f>-6.03-2.02</f>
        <v>-8.0500000000000007</v>
      </c>
      <c r="M70" s="178">
        <f>-6.03-4.85</f>
        <v>-10.879999999999999</v>
      </c>
      <c r="N70" s="62">
        <v>-5.0999999999999996</v>
      </c>
      <c r="O70" s="62">
        <v>-6.6</v>
      </c>
      <c r="P70" s="62">
        <v>-8</v>
      </c>
      <c r="Q70" s="62">
        <v>-20.8</v>
      </c>
      <c r="R70" s="141">
        <v>-40.4</v>
      </c>
      <c r="S70" s="62">
        <v>-20.9</v>
      </c>
      <c r="T70" s="62">
        <v>-22.3</v>
      </c>
      <c r="U70" s="62">
        <v>-18.5</v>
      </c>
      <c r="V70" s="62">
        <v>-10.7</v>
      </c>
      <c r="W70" s="141">
        <v>-72.5</v>
      </c>
      <c r="X70" s="62">
        <v>-16.7</v>
      </c>
      <c r="Y70" s="62">
        <v>-3.8</v>
      </c>
      <c r="Z70" s="62">
        <v>0.6</v>
      </c>
      <c r="AA70" s="62">
        <v>-49.6</v>
      </c>
      <c r="AB70" s="141">
        <v>-69.5</v>
      </c>
      <c r="AC70" s="62">
        <v>-25</v>
      </c>
      <c r="AD70" s="62">
        <v>-114.9</v>
      </c>
      <c r="AE70" s="62">
        <f>+AG70-AF70-AC70-AD70</f>
        <v>-12.299999999999983</v>
      </c>
      <c r="AF70" s="62">
        <v>-61</v>
      </c>
      <c r="AG70" s="178">
        <v>-213.2</v>
      </c>
      <c r="AH70" s="104">
        <v>-64.599999999999994</v>
      </c>
      <c r="AI70" s="104">
        <v>-18.7</v>
      </c>
      <c r="AJ70" s="104">
        <v>-15.4</v>
      </c>
      <c r="AK70" s="104">
        <v>-12.2</v>
      </c>
      <c r="AL70" s="141">
        <f>+AH70+AI70+AJ70+AK70</f>
        <v>-110.9</v>
      </c>
      <c r="AM70" s="104">
        <v>-4.5999999999999996</v>
      </c>
      <c r="AN70" s="104">
        <v>-15.4</v>
      </c>
      <c r="AO70" s="104">
        <f>AQ70-AP70-AN70-AM70</f>
        <v>-1.8999999999999773</v>
      </c>
      <c r="AP70" s="104">
        <v>276.89999999999998</v>
      </c>
      <c r="AQ70" s="141">
        <v>255</v>
      </c>
      <c r="AR70" s="104">
        <v>0</v>
      </c>
      <c r="AS70" s="104">
        <v>0</v>
      </c>
      <c r="AT70" s="106">
        <v>0</v>
      </c>
      <c r="AU70" s="106">
        <v>0</v>
      </c>
      <c r="AV70" s="141">
        <f>SUM(AR70:AU70)</f>
        <v>0</v>
      </c>
      <c r="AW70" s="106">
        <v>0</v>
      </c>
      <c r="AX70" s="106">
        <v>0</v>
      </c>
      <c r="AY70" s="106">
        <v>0</v>
      </c>
      <c r="AZ70" s="106">
        <v>0</v>
      </c>
      <c r="BA70" s="141">
        <f>SUM(AW70:AZ70)</f>
        <v>0</v>
      </c>
      <c r="BB70" s="90"/>
      <c r="BC70" s="90"/>
      <c r="BD70" s="90"/>
      <c r="BE70" s="90"/>
      <c r="BF70" s="178"/>
      <c r="BG70" s="90"/>
      <c r="BH70" s="90"/>
      <c r="BI70" s="90"/>
      <c r="BJ70" s="90"/>
      <c r="BK70" s="178"/>
      <c r="BL70" s="90"/>
      <c r="BM70" s="90"/>
      <c r="BN70" s="90"/>
      <c r="BO70" s="90"/>
      <c r="BP70" s="91"/>
      <c r="BQ70" s="90"/>
      <c r="BR70" s="90"/>
      <c r="BS70" s="90"/>
      <c r="BT70" s="90"/>
      <c r="BU70" s="549"/>
      <c r="BV70" s="550"/>
      <c r="BW70" s="550"/>
      <c r="BX70" s="400"/>
      <c r="BY70" s="397"/>
      <c r="BZ70" s="609"/>
      <c r="CA70" s="608"/>
      <c r="CB70" s="601"/>
      <c r="CC70" s="600"/>
      <c r="CD70" s="550"/>
      <c r="CE70" s="91"/>
      <c r="CF70" s="90"/>
      <c r="CG70" s="90"/>
      <c r="CH70" s="550"/>
      <c r="CI70" s="90"/>
      <c r="CJ70" s="91"/>
      <c r="CK70" s="90"/>
      <c r="CL70" s="90"/>
      <c r="CM70" s="90"/>
      <c r="CN70" s="90"/>
      <c r="CO70" s="552"/>
      <c r="CP70" s="90"/>
      <c r="CQ70" s="90"/>
      <c r="CR70" s="90"/>
      <c r="CS70" s="90"/>
      <c r="CT70" s="178"/>
      <c r="CU70" s="90"/>
      <c r="CV70" s="90"/>
      <c r="CW70" s="90"/>
      <c r="CX70" s="90"/>
      <c r="CY70" s="178"/>
      <c r="CZ70" s="179"/>
      <c r="DA70" s="721"/>
      <c r="DB70" s="817"/>
      <c r="DC70" s="736"/>
      <c r="DD70" s="721"/>
      <c r="DE70" s="722"/>
      <c r="DX70" s="723"/>
      <c r="DY70" s="723"/>
      <c r="DZ70" s="723"/>
      <c r="EA70" s="723"/>
      <c r="EC70" s="721"/>
      <c r="ED70" s="308"/>
      <c r="EE70" s="817"/>
      <c r="EF70" s="850"/>
      <c r="EG70" s="718"/>
      <c r="EH70" s="767"/>
      <c r="EI70" s="490"/>
      <c r="EJ70" s="767"/>
      <c r="EK70" s="767"/>
      <c r="EL70" s="767"/>
      <c r="EM70" s="767"/>
    </row>
    <row r="71" spans="1:143" hidden="1" outlineLevel="1" x14ac:dyDescent="0.2">
      <c r="A71" s="177" t="s">
        <v>90</v>
      </c>
      <c r="B71" s="177"/>
      <c r="C71" s="171"/>
      <c r="D71" s="69">
        <f>-2.583-1.061+0.756</f>
        <v>-2.8879999999999999</v>
      </c>
      <c r="E71" s="69">
        <f>-3.334-10.769</f>
        <v>-14.103</v>
      </c>
      <c r="F71" s="69">
        <v>-1.4890000000000001</v>
      </c>
      <c r="G71" s="69">
        <v>6.6779999999999999</v>
      </c>
      <c r="H71" s="181">
        <f>6.678-7.406-10.769-1.061+0.756</f>
        <v>-11.802</v>
      </c>
      <c r="I71" s="69">
        <v>-6.601</v>
      </c>
      <c r="J71" s="69">
        <v>0</v>
      </c>
      <c r="K71" s="69">
        <v>0</v>
      </c>
      <c r="L71" s="69">
        <f>-13.7+2+1.9</f>
        <v>-9.7999999999999989</v>
      </c>
      <c r="M71" s="181">
        <f>-20.29+2+1.9</f>
        <v>-16.39</v>
      </c>
      <c r="N71" s="69">
        <v>16.2</v>
      </c>
      <c r="O71" s="69">
        <v>-2.5</v>
      </c>
      <c r="P71" s="69">
        <v>0.3</v>
      </c>
      <c r="Q71" s="69">
        <v>0</v>
      </c>
      <c r="R71" s="182">
        <v>14</v>
      </c>
      <c r="S71" s="69">
        <v>32.5</v>
      </c>
      <c r="T71" s="69">
        <v>-9.8000000000000007</v>
      </c>
      <c r="U71" s="69">
        <v>-0.4</v>
      </c>
      <c r="V71" s="69">
        <v>0</v>
      </c>
      <c r="W71" s="182">
        <v>22.3</v>
      </c>
      <c r="X71" s="69">
        <v>0</v>
      </c>
      <c r="Y71" s="69">
        <v>0</v>
      </c>
      <c r="Z71" s="69">
        <v>0</v>
      </c>
      <c r="AA71" s="69">
        <v>-856.9</v>
      </c>
      <c r="AB71" s="182">
        <v>-856.9</v>
      </c>
      <c r="AC71" s="69">
        <v>-0.1</v>
      </c>
      <c r="AD71" s="69">
        <v>-4.0999999999999996</v>
      </c>
      <c r="AE71" s="69">
        <f>+AG71-AF71-AC71-AD71</f>
        <v>-32.40000000000002</v>
      </c>
      <c r="AF71" s="69">
        <v>-389.2</v>
      </c>
      <c r="AG71" s="181">
        <v>-425.8</v>
      </c>
      <c r="AH71" s="183">
        <v>0</v>
      </c>
      <c r="AI71" s="183">
        <v>0</v>
      </c>
      <c r="AJ71" s="183">
        <v>-59.7</v>
      </c>
      <c r="AK71" s="183">
        <f>-98.3+25.4</f>
        <v>-72.900000000000006</v>
      </c>
      <c r="AL71" s="182">
        <f>+AH71+AI71+AJ71+AK71</f>
        <v>-132.60000000000002</v>
      </c>
      <c r="AM71" s="183">
        <f ca="1">+AM72-SUM(AM68:AM70)</f>
        <v>9.6999999999999993</v>
      </c>
      <c r="AN71" s="183">
        <f ca="1">+AN72-SUM(AN68:AN70)</f>
        <v>0</v>
      </c>
      <c r="AO71" s="183">
        <f ca="1">AQ71-AP71-AN71-AM71</f>
        <v>193.6</v>
      </c>
      <c r="AP71" s="183">
        <f ca="1">+AP72-SUM(AP68:AP70)</f>
        <v>-305.39999999999998</v>
      </c>
      <c r="AQ71" s="182">
        <v>-102.1</v>
      </c>
      <c r="AR71" s="183">
        <v>-9.6</v>
      </c>
      <c r="AS71" s="183">
        <v>-2.2000000000000002</v>
      </c>
      <c r="AT71" s="184">
        <f>8.8-4.8</f>
        <v>4.0000000000000009</v>
      </c>
      <c r="AU71" s="184">
        <f>-7.6-27.5</f>
        <v>-35.1</v>
      </c>
      <c r="AV71" s="182">
        <f>SUM(AR71:AU71)</f>
        <v>-42.9</v>
      </c>
      <c r="AW71" s="184">
        <v>-4</v>
      </c>
      <c r="AX71" s="184">
        <v>-6.4</v>
      </c>
      <c r="AY71" s="184">
        <v>-9.1</v>
      </c>
      <c r="AZ71" s="184">
        <v>-8.6</v>
      </c>
      <c r="BA71" s="182">
        <f>SUM(AW71:AZ71)</f>
        <v>-28.1</v>
      </c>
      <c r="BB71" s="90"/>
      <c r="BC71" s="90"/>
      <c r="BD71" s="90"/>
      <c r="BE71" s="90"/>
      <c r="BF71" s="181"/>
      <c r="BG71" s="90"/>
      <c r="BH71" s="90"/>
      <c r="BI71" s="90"/>
      <c r="BJ71" s="90"/>
      <c r="BK71" s="181"/>
      <c r="BL71" s="90"/>
      <c r="BM71" s="90"/>
      <c r="BN71" s="90"/>
      <c r="BO71" s="90"/>
      <c r="BP71" s="181"/>
      <c r="BQ71" s="397"/>
      <c r="BR71" s="397"/>
      <c r="BS71" s="90"/>
      <c r="BT71" s="90"/>
      <c r="BU71" s="551"/>
      <c r="BV71" s="90"/>
      <c r="BW71" s="90"/>
      <c r="BX71" s="550"/>
      <c r="BY71" s="550"/>
      <c r="BZ71" s="551"/>
      <c r="CA71" s="608"/>
      <c r="CB71" s="601"/>
      <c r="CC71" s="600"/>
      <c r="CD71" s="600"/>
      <c r="CE71" s="181"/>
      <c r="CF71" s="90"/>
      <c r="CG71" s="90"/>
      <c r="CH71" s="90"/>
      <c r="CI71" s="90"/>
      <c r="CJ71" s="181"/>
      <c r="CK71" s="90"/>
      <c r="CL71" s="90"/>
      <c r="CM71" s="90"/>
      <c r="CN71" s="90"/>
      <c r="CO71" s="181"/>
      <c r="CP71" s="90"/>
      <c r="CQ71" s="90"/>
      <c r="CR71" s="90"/>
      <c r="CS71" s="90"/>
      <c r="CT71" s="181"/>
      <c r="CU71" s="90"/>
      <c r="CV71" s="90"/>
      <c r="CW71" s="90"/>
      <c r="CX71" s="90"/>
      <c r="CY71" s="181"/>
      <c r="CZ71" s="185"/>
      <c r="DA71" s="721"/>
      <c r="DB71" s="310"/>
      <c r="DC71" s="818"/>
      <c r="DD71" s="721"/>
      <c r="DE71" s="722"/>
      <c r="DL71" s="723"/>
      <c r="DM71" s="723"/>
      <c r="DN71" s="723"/>
      <c r="DU71" s="173"/>
      <c r="DV71" s="173"/>
      <c r="DW71" s="723"/>
      <c r="DX71" s="723"/>
      <c r="DY71" s="723"/>
      <c r="DZ71" s="723"/>
      <c r="EA71" s="723"/>
      <c r="EB71" s="564"/>
      <c r="EC71" s="720"/>
      <c r="ED71" s="308"/>
      <c r="EE71" s="817"/>
      <c r="EF71" s="850"/>
      <c r="EG71" s="718"/>
      <c r="EH71" s="767"/>
      <c r="EI71" s="767"/>
      <c r="EJ71" s="767"/>
      <c r="EK71" s="490"/>
      <c r="EL71" s="490"/>
      <c r="EM71" s="490"/>
    </row>
    <row r="72" spans="1:143" hidden="1" outlineLevel="1" x14ac:dyDescent="0.2">
      <c r="A72" s="186" t="s">
        <v>91</v>
      </c>
      <c r="B72" s="186"/>
      <c r="C72" s="171"/>
      <c r="D72" s="87">
        <f t="shared" ref="D72:AU72" si="94">+D71+D70+D69+D68</f>
        <v>-7.9009999999999998</v>
      </c>
      <c r="E72" s="87">
        <f t="shared" si="94"/>
        <v>-30.807000000000002</v>
      </c>
      <c r="F72" s="87">
        <f t="shared" si="94"/>
        <v>-8.4039999999999999</v>
      </c>
      <c r="G72" s="87">
        <f t="shared" si="94"/>
        <v>0.99099999999999966</v>
      </c>
      <c r="H72" s="160">
        <f t="shared" si="94"/>
        <v>-46.122999999999998</v>
      </c>
      <c r="I72" s="87">
        <f t="shared" si="94"/>
        <v>-8.4619999999999997</v>
      </c>
      <c r="J72" s="87">
        <f t="shared" si="94"/>
        <v>-1.37</v>
      </c>
      <c r="K72" s="87">
        <f t="shared" si="94"/>
        <v>-2.262</v>
      </c>
      <c r="L72" s="87">
        <f t="shared" si="94"/>
        <v>-25.590000000000003</v>
      </c>
      <c r="M72" s="160">
        <f t="shared" si="94"/>
        <v>-37.65</v>
      </c>
      <c r="N72" s="87">
        <f t="shared" si="94"/>
        <v>4.5</v>
      </c>
      <c r="O72" s="87">
        <f t="shared" si="94"/>
        <v>-15.7</v>
      </c>
      <c r="P72" s="84">
        <f t="shared" si="94"/>
        <v>-14.600000000000001</v>
      </c>
      <c r="Q72" s="84">
        <f t="shared" si="94"/>
        <v>-28.700000000000003</v>
      </c>
      <c r="R72" s="85">
        <f t="shared" si="94"/>
        <v>-54.5</v>
      </c>
      <c r="S72" s="84">
        <f t="shared" si="94"/>
        <v>10.8</v>
      </c>
      <c r="T72" s="84">
        <f t="shared" si="94"/>
        <v>-36.1</v>
      </c>
      <c r="U72" s="84">
        <f t="shared" si="94"/>
        <v>-31.4</v>
      </c>
      <c r="V72" s="84">
        <f t="shared" si="94"/>
        <v>-14.6</v>
      </c>
      <c r="W72" s="85">
        <f t="shared" si="94"/>
        <v>-71.400000000000006</v>
      </c>
      <c r="X72" s="87">
        <f t="shared" si="94"/>
        <v>-18.7</v>
      </c>
      <c r="Y72" s="87">
        <f t="shared" si="94"/>
        <v>-5.1999999999999993</v>
      </c>
      <c r="Z72" s="87">
        <f t="shared" si="94"/>
        <v>-1.7999999999999998</v>
      </c>
      <c r="AA72" s="87">
        <f t="shared" si="94"/>
        <v>-908.6</v>
      </c>
      <c r="AB72" s="85">
        <f t="shared" si="94"/>
        <v>-934.3</v>
      </c>
      <c r="AC72" s="87">
        <f t="shared" si="94"/>
        <v>-29</v>
      </c>
      <c r="AD72" s="87">
        <f t="shared" si="94"/>
        <v>-121.7</v>
      </c>
      <c r="AE72" s="84">
        <f t="shared" si="94"/>
        <v>-48.5</v>
      </c>
      <c r="AF72" s="87">
        <f t="shared" si="94"/>
        <v>-453.5</v>
      </c>
      <c r="AG72" s="160">
        <f t="shared" si="94"/>
        <v>-652.70000000000005</v>
      </c>
      <c r="AH72" s="84">
        <f t="shared" si="94"/>
        <v>-66.199999999999989</v>
      </c>
      <c r="AI72" s="84">
        <f t="shared" si="94"/>
        <v>-20.3</v>
      </c>
      <c r="AJ72" s="84">
        <f t="shared" si="94"/>
        <v>-76.300000000000011</v>
      </c>
      <c r="AK72" s="84">
        <f t="shared" si="94"/>
        <v>-85.800000000000011</v>
      </c>
      <c r="AL72" s="160">
        <f t="shared" si="94"/>
        <v>-248.60000000000002</v>
      </c>
      <c r="AM72" s="84">
        <f ca="1">+AM71+AM70+AM69+AM68</f>
        <v>4.5</v>
      </c>
      <c r="AN72" s="84">
        <f ca="1">+AN71+AN70+AN69+AN68</f>
        <v>-15.700000000000001</v>
      </c>
      <c r="AO72" s="84">
        <f ca="1">+AO71+AO70+AO69+AO68</f>
        <v>191.4</v>
      </c>
      <c r="AP72" s="84">
        <f ca="1">+AP71+AP70+AP69+AP68</f>
        <v>-28.7</v>
      </c>
      <c r="AQ72" s="160">
        <f t="shared" si="94"/>
        <v>151.5</v>
      </c>
      <c r="AR72" s="84">
        <f t="shared" si="94"/>
        <v>-9.6</v>
      </c>
      <c r="AS72" s="84">
        <f t="shared" si="94"/>
        <v>-2.2000000000000002</v>
      </c>
      <c r="AT72" s="86">
        <f t="shared" si="94"/>
        <v>4.0000000000000009</v>
      </c>
      <c r="AU72" s="86">
        <f t="shared" si="94"/>
        <v>-35.1</v>
      </c>
      <c r="AV72" s="160">
        <f>SUM(AR72:AU72)</f>
        <v>-42.9</v>
      </c>
      <c r="AW72" s="86">
        <f>+AW71+AW70+AW69+AW68</f>
        <v>-4</v>
      </c>
      <c r="AX72" s="86">
        <f>+AX71+AX70+AX69+AX68</f>
        <v>-6.4</v>
      </c>
      <c r="AY72" s="86">
        <f>+AY71+AY70+AY69+AY68</f>
        <v>-9.1</v>
      </c>
      <c r="AZ72" s="86">
        <f>+AZ71+AZ70+AZ69+AZ68</f>
        <v>-8.6</v>
      </c>
      <c r="BA72" s="160">
        <f>SUM(AW72:AZ72)</f>
        <v>-28.1</v>
      </c>
      <c r="BB72" s="187">
        <f t="shared" ref="BB72:BJ72" si="95">+BB71+BB70+BB69+BB68</f>
        <v>0</v>
      </c>
      <c r="BC72" s="187">
        <f t="shared" si="95"/>
        <v>0</v>
      </c>
      <c r="BD72" s="187">
        <f t="shared" si="95"/>
        <v>0</v>
      </c>
      <c r="BE72" s="187">
        <f t="shared" si="95"/>
        <v>0</v>
      </c>
      <c r="BF72" s="160">
        <f t="shared" si="95"/>
        <v>0</v>
      </c>
      <c r="BG72" s="187">
        <f t="shared" si="95"/>
        <v>0</v>
      </c>
      <c r="BH72" s="187">
        <f t="shared" si="95"/>
        <v>0</v>
      </c>
      <c r="BI72" s="187">
        <f t="shared" si="95"/>
        <v>0</v>
      </c>
      <c r="BJ72" s="187">
        <f t="shared" si="95"/>
        <v>0</v>
      </c>
      <c r="BK72" s="160">
        <f>+BK71+BK70+BK69+BK68</f>
        <v>0</v>
      </c>
      <c r="BL72" s="187">
        <f t="shared" ref="BL72:CY72" si="96">+BL71+BL70+BL69+BL68</f>
        <v>0</v>
      </c>
      <c r="BM72" s="187">
        <f t="shared" si="96"/>
        <v>0</v>
      </c>
      <c r="BN72" s="187">
        <f t="shared" si="96"/>
        <v>0</v>
      </c>
      <c r="BO72" s="187">
        <f t="shared" si="96"/>
        <v>0</v>
      </c>
      <c r="BP72" s="160">
        <f t="shared" si="96"/>
        <v>0</v>
      </c>
      <c r="BQ72" s="187">
        <f t="shared" si="96"/>
        <v>0</v>
      </c>
      <c r="BR72" s="187">
        <f t="shared" si="96"/>
        <v>0</v>
      </c>
      <c r="BS72" s="187">
        <f t="shared" si="96"/>
        <v>0</v>
      </c>
      <c r="BT72" s="187">
        <f t="shared" si="96"/>
        <v>0</v>
      </c>
      <c r="BU72" s="160">
        <f>+BU71+BU70+BU69+BU68</f>
        <v>0</v>
      </c>
      <c r="BV72" s="187">
        <f t="shared" si="96"/>
        <v>0</v>
      </c>
      <c r="BW72" s="187">
        <f t="shared" si="96"/>
        <v>0</v>
      </c>
      <c r="BX72" s="187">
        <f t="shared" si="96"/>
        <v>0</v>
      </c>
      <c r="BY72" s="187">
        <f>+BY71+BY70+BY69+BY68</f>
        <v>0</v>
      </c>
      <c r="BZ72" s="160">
        <f>+BZ71+BZ70+BZ69+BZ68</f>
        <v>0</v>
      </c>
      <c r="CA72" s="187">
        <f>+CA71+CA70+CA69+CA68</f>
        <v>0</v>
      </c>
      <c r="CB72" s="187">
        <f t="shared" si="96"/>
        <v>0</v>
      </c>
      <c r="CC72" s="187">
        <f>+CC71+CC70+CC69+CC68</f>
        <v>0</v>
      </c>
      <c r="CD72" s="187">
        <f t="shared" si="96"/>
        <v>0</v>
      </c>
      <c r="CE72" s="160">
        <f>+CE71+CE70+CE69+CE68</f>
        <v>0</v>
      </c>
      <c r="CF72" s="187">
        <f>+CF71+CF70+CF69+CF68</f>
        <v>0</v>
      </c>
      <c r="CG72" s="187">
        <f t="shared" si="96"/>
        <v>0</v>
      </c>
      <c r="CH72" s="187">
        <f t="shared" si="96"/>
        <v>0</v>
      </c>
      <c r="CI72" s="187">
        <f t="shared" si="96"/>
        <v>0</v>
      </c>
      <c r="CJ72" s="160">
        <f>+CJ71+CJ70+CJ69+CJ68</f>
        <v>0</v>
      </c>
      <c r="CK72" s="187">
        <f t="shared" si="96"/>
        <v>0</v>
      </c>
      <c r="CL72" s="187">
        <f t="shared" si="96"/>
        <v>0</v>
      </c>
      <c r="CM72" s="187">
        <f t="shared" si="96"/>
        <v>0</v>
      </c>
      <c r="CN72" s="187">
        <f t="shared" si="96"/>
        <v>0</v>
      </c>
      <c r="CO72" s="160">
        <f t="shared" si="96"/>
        <v>0</v>
      </c>
      <c r="CP72" s="187">
        <f t="shared" si="96"/>
        <v>0</v>
      </c>
      <c r="CQ72" s="187">
        <f t="shared" si="96"/>
        <v>0</v>
      </c>
      <c r="CR72" s="187">
        <f t="shared" si="96"/>
        <v>0</v>
      </c>
      <c r="CS72" s="187">
        <f t="shared" si="96"/>
        <v>0</v>
      </c>
      <c r="CT72" s="160">
        <f t="shared" si="96"/>
        <v>0</v>
      </c>
      <c r="CU72" s="187">
        <f t="shared" si="96"/>
        <v>0</v>
      </c>
      <c r="CV72" s="187">
        <f t="shared" si="96"/>
        <v>0</v>
      </c>
      <c r="CW72" s="187">
        <f t="shared" si="96"/>
        <v>0</v>
      </c>
      <c r="CX72" s="187">
        <f t="shared" si="96"/>
        <v>0</v>
      </c>
      <c r="CY72" s="160">
        <f t="shared" si="96"/>
        <v>0</v>
      </c>
      <c r="CZ72" s="188"/>
      <c r="DA72" s="721"/>
      <c r="DB72" s="738"/>
      <c r="DC72" s="738"/>
      <c r="DD72" s="721"/>
      <c r="DE72" s="722"/>
      <c r="DL72" s="718"/>
      <c r="DM72" s="723"/>
      <c r="DN72" s="723"/>
      <c r="DU72" s="173"/>
      <c r="DV72" s="173"/>
      <c r="DW72" s="723"/>
      <c r="DX72" s="723"/>
      <c r="DY72" s="723"/>
      <c r="DZ72" s="723"/>
      <c r="EA72" s="723"/>
      <c r="EB72" s="564"/>
      <c r="EC72" s="720"/>
      <c r="ED72" s="308"/>
      <c r="EE72" s="808"/>
      <c r="EF72" s="850"/>
      <c r="EG72" s="718"/>
      <c r="EH72" s="858"/>
      <c r="EI72" s="858"/>
      <c r="EJ72" s="858"/>
      <c r="EK72" s="802"/>
      <c r="EL72" s="802"/>
      <c r="EM72" s="858"/>
    </row>
    <row r="73" spans="1:143" hidden="1" outlineLevel="1" x14ac:dyDescent="0.2">
      <c r="A73" s="186" t="s">
        <v>92</v>
      </c>
      <c r="B73" s="186"/>
      <c r="C73" s="171"/>
      <c r="D73" s="87">
        <f t="shared" ref="D73:AI73" si="97">+D72+D58</f>
        <v>39.189000000000007</v>
      </c>
      <c r="E73" s="87">
        <f t="shared" si="97"/>
        <v>35.563999999999993</v>
      </c>
      <c r="F73" s="87">
        <f t="shared" si="97"/>
        <v>82.84</v>
      </c>
      <c r="G73" s="87">
        <f t="shared" si="97"/>
        <v>62.820999999999998</v>
      </c>
      <c r="H73" s="160">
        <f t="shared" si="97"/>
        <v>220.41399999999999</v>
      </c>
      <c r="I73" s="87">
        <f t="shared" si="97"/>
        <v>51.328999999999994</v>
      </c>
      <c r="J73" s="87">
        <f t="shared" si="97"/>
        <v>80.61399999999999</v>
      </c>
      <c r="K73" s="87">
        <f t="shared" si="97"/>
        <v>96.893000000000001</v>
      </c>
      <c r="L73" s="87">
        <f t="shared" si="97"/>
        <v>47.61</v>
      </c>
      <c r="M73" s="160">
        <f t="shared" si="97"/>
        <v>276.45000000000005</v>
      </c>
      <c r="N73" s="87">
        <f t="shared" si="97"/>
        <v>75.734999999999886</v>
      </c>
      <c r="O73" s="87">
        <f t="shared" si="97"/>
        <v>82.359000000000037</v>
      </c>
      <c r="P73" s="84">
        <f t="shared" si="97"/>
        <v>109.00000000000017</v>
      </c>
      <c r="Q73" s="84">
        <f t="shared" si="97"/>
        <v>58.200000000000031</v>
      </c>
      <c r="R73" s="85">
        <f t="shared" si="97"/>
        <v>325.30000000000007</v>
      </c>
      <c r="S73" s="84">
        <f t="shared" si="97"/>
        <v>85.500000000000057</v>
      </c>
      <c r="T73" s="84">
        <f t="shared" si="97"/>
        <v>68.399999999999977</v>
      </c>
      <c r="U73" s="84">
        <f t="shared" si="97"/>
        <v>107.79999999999987</v>
      </c>
      <c r="V73" s="84">
        <f t="shared" si="97"/>
        <v>70.199999999999818</v>
      </c>
      <c r="W73" s="85">
        <f t="shared" si="97"/>
        <v>331.89999999999964</v>
      </c>
      <c r="X73" s="87">
        <f t="shared" si="97"/>
        <v>29.800000000000065</v>
      </c>
      <c r="Y73" s="87">
        <f t="shared" si="97"/>
        <v>72.100000000000037</v>
      </c>
      <c r="Z73" s="87">
        <f t="shared" si="97"/>
        <v>119.59999999999995</v>
      </c>
      <c r="AA73" s="87">
        <f t="shared" si="97"/>
        <v>-834.80000000000007</v>
      </c>
      <c r="AB73" s="85">
        <f t="shared" si="97"/>
        <v>-613.30000000000018</v>
      </c>
      <c r="AC73" s="87">
        <f t="shared" si="97"/>
        <v>44.600000000000094</v>
      </c>
      <c r="AD73" s="87">
        <f t="shared" si="97"/>
        <v>-22.699999999999974</v>
      </c>
      <c r="AE73" s="84">
        <f t="shared" si="97"/>
        <v>83.500000000000028</v>
      </c>
      <c r="AF73" s="87">
        <f t="shared" si="97"/>
        <v>-406.79999999999995</v>
      </c>
      <c r="AG73" s="85">
        <f t="shared" si="97"/>
        <v>-301.40000000000026</v>
      </c>
      <c r="AH73" s="84">
        <f t="shared" si="97"/>
        <v>6.5000000000000284</v>
      </c>
      <c r="AI73" s="84">
        <f t="shared" si="97"/>
        <v>99.70000000000006</v>
      </c>
      <c r="AJ73" s="84">
        <f t="shared" ref="AJ73:BJ73" si="98">+AJ72+AJ58</f>
        <v>44.099999999999937</v>
      </c>
      <c r="AK73" s="84">
        <f t="shared" si="98"/>
        <v>-50.983999999999995</v>
      </c>
      <c r="AL73" s="85">
        <f t="shared" si="98"/>
        <v>99.315999999999974</v>
      </c>
      <c r="AM73" s="84">
        <f ca="1">+AM72+AM58</f>
        <v>87.433199999999999</v>
      </c>
      <c r="AN73" s="84">
        <f ca="1">+AN72+AN58</f>
        <v>93.399999999999977</v>
      </c>
      <c r="AO73" s="84">
        <f ca="1">+AO72+AO58</f>
        <v>332.9</v>
      </c>
      <c r="AP73" s="84">
        <f ca="1">+AP72+AP58</f>
        <v>45.799999999999983</v>
      </c>
      <c r="AQ73" s="85">
        <f t="shared" si="98"/>
        <v>559.53319999999985</v>
      </c>
      <c r="AR73" s="84">
        <f t="shared" si="98"/>
        <v>74.499999999999957</v>
      </c>
      <c r="AS73" s="84">
        <f t="shared" si="98"/>
        <v>162.60000000000002</v>
      </c>
      <c r="AT73" s="86">
        <f t="shared" si="98"/>
        <v>104.80000000000001</v>
      </c>
      <c r="AU73" s="86">
        <f t="shared" si="98"/>
        <v>103</v>
      </c>
      <c r="AV73" s="85">
        <f t="shared" si="98"/>
        <v>444.90000000000009</v>
      </c>
      <c r="AW73" s="86">
        <f t="shared" si="98"/>
        <v>71.999999999999972</v>
      </c>
      <c r="AX73" s="86">
        <f t="shared" si="98"/>
        <v>124.60000000000002</v>
      </c>
      <c r="AY73" s="86">
        <f t="shared" si="98"/>
        <v>109.49999999999997</v>
      </c>
      <c r="AZ73" s="84">
        <f t="shared" si="98"/>
        <v>81.699999999999989</v>
      </c>
      <c r="BA73" s="85">
        <f t="shared" si="98"/>
        <v>387.79999999999995</v>
      </c>
      <c r="BB73" s="84">
        <f t="shared" si="98"/>
        <v>73.69999999999996</v>
      </c>
      <c r="BC73" s="84">
        <f t="shared" si="98"/>
        <v>188.7</v>
      </c>
      <c r="BD73" s="84">
        <f t="shared" si="98"/>
        <v>217.2</v>
      </c>
      <c r="BE73" s="84">
        <f t="shared" si="98"/>
        <v>162.10000000000014</v>
      </c>
      <c r="BF73" s="160">
        <f t="shared" si="98"/>
        <v>641.70000000000027</v>
      </c>
      <c r="BG73" s="84">
        <f t="shared" si="98"/>
        <v>215.20000000000005</v>
      </c>
      <c r="BH73" s="84">
        <f t="shared" si="98"/>
        <v>221.99999999999977</v>
      </c>
      <c r="BI73" s="84">
        <f t="shared" si="98"/>
        <v>248.30000000000007</v>
      </c>
      <c r="BJ73" s="84">
        <f t="shared" si="98"/>
        <v>207.5</v>
      </c>
      <c r="BK73" s="160">
        <f>+BK72+BK58</f>
        <v>893</v>
      </c>
      <c r="BL73" s="84">
        <f t="shared" ref="BL73:BX73" si="99">+BL72+BL58</f>
        <v>256.39999999999992</v>
      </c>
      <c r="BM73" s="84">
        <f t="shared" si="99"/>
        <v>317.60000000000019</v>
      </c>
      <c r="BN73" s="84">
        <f t="shared" si="99"/>
        <v>289.10000000000002</v>
      </c>
      <c r="BO73" s="84">
        <f t="shared" si="99"/>
        <v>243.40000000000006</v>
      </c>
      <c r="BP73" s="160">
        <f t="shared" si="99"/>
        <v>1106.4999999999995</v>
      </c>
      <c r="BQ73" s="84">
        <f t="shared" si="99"/>
        <v>316.99999999999994</v>
      </c>
      <c r="BR73" s="84">
        <f t="shared" si="99"/>
        <v>364.40000000000003</v>
      </c>
      <c r="BS73" s="84">
        <f t="shared" si="99"/>
        <v>403.29999999999995</v>
      </c>
      <c r="BT73" s="84">
        <f t="shared" si="99"/>
        <v>296.00000000000011</v>
      </c>
      <c r="BU73" s="160">
        <f t="shared" si="99"/>
        <v>1380.7000000000003</v>
      </c>
      <c r="BV73" s="84">
        <f t="shared" si="99"/>
        <v>470.49999999999994</v>
      </c>
      <c r="BW73" s="84">
        <f t="shared" si="99"/>
        <v>497.10000000000025</v>
      </c>
      <c r="BX73" s="84">
        <f t="shared" si="99"/>
        <v>402.59999999999997</v>
      </c>
      <c r="BY73" s="84">
        <f t="shared" ref="BY73:CY73" si="100">+BY72+BY58</f>
        <v>379.40000000000015</v>
      </c>
      <c r="BZ73" s="160">
        <f t="shared" si="100"/>
        <v>1749.6000000000001</v>
      </c>
      <c r="CA73" s="84">
        <f t="shared" ca="1" si="100"/>
        <v>494.32970596783383</v>
      </c>
      <c r="CB73" s="84">
        <f t="shared" ca="1" si="100"/>
        <v>558.6634404877924</v>
      </c>
      <c r="CC73" s="84">
        <f t="shared" ca="1" si="100"/>
        <v>462.80100839483566</v>
      </c>
      <c r="CD73" s="84">
        <f t="shared" ca="1" si="100"/>
        <v>411.59520468209405</v>
      </c>
      <c r="CE73" s="160">
        <f t="shared" ca="1" si="100"/>
        <v>1927.3893595325549</v>
      </c>
      <c r="CF73" s="84">
        <f t="shared" ca="1" si="100"/>
        <v>544.9452108724721</v>
      </c>
      <c r="CG73" s="84">
        <f t="shared" ca="1" si="100"/>
        <v>614.89615960100014</v>
      </c>
      <c r="CH73" s="84">
        <f t="shared" ca="1" si="100"/>
        <v>506.65699037984848</v>
      </c>
      <c r="CI73" s="84">
        <f t="shared" ca="1" si="100"/>
        <v>450.7257313946028</v>
      </c>
      <c r="CJ73" s="160">
        <f t="shared" ca="1" si="100"/>
        <v>2117.2240922479236</v>
      </c>
      <c r="CK73" s="84">
        <f t="shared" ca="1" si="100"/>
        <v>585.0439727469261</v>
      </c>
      <c r="CL73" s="84">
        <f t="shared" ca="1" si="100"/>
        <v>660.73632386703468</v>
      </c>
      <c r="CM73" s="84">
        <f t="shared" ca="1" si="100"/>
        <v>542.95529889698298</v>
      </c>
      <c r="CN73" s="84">
        <f t="shared" ca="1" si="100"/>
        <v>485.41947039073591</v>
      </c>
      <c r="CO73" s="160">
        <f t="shared" ca="1" si="100"/>
        <v>2274.1550659016798</v>
      </c>
      <c r="CP73" s="84">
        <f t="shared" ca="1" si="100"/>
        <v>627.36556997357775</v>
      </c>
      <c r="CQ73" s="84">
        <f t="shared" ca="1" si="100"/>
        <v>708.32400746457267</v>
      </c>
      <c r="CR73" s="84">
        <f t="shared" ca="1" si="100"/>
        <v>581.15048397714997</v>
      </c>
      <c r="CS73" s="84">
        <f t="shared" ca="1" si="100"/>
        <v>521.77660257571597</v>
      </c>
      <c r="CT73" s="160">
        <f t="shared" ca="1" si="100"/>
        <v>2438.6166639910184</v>
      </c>
      <c r="CU73" s="84">
        <f t="shared" ca="1" si="100"/>
        <v>669.14249252662319</v>
      </c>
      <c r="CV73" s="84">
        <f t="shared" ca="1" si="100"/>
        <v>754.67064737973703</v>
      </c>
      <c r="CW73" s="84">
        <f t="shared" ca="1" si="100"/>
        <v>618.24070690379722</v>
      </c>
      <c r="CX73" s="84">
        <f t="shared" ca="1" si="100"/>
        <v>556.63991059512387</v>
      </c>
      <c r="CY73" s="160">
        <f t="shared" ca="1" si="100"/>
        <v>2598.6937574052804</v>
      </c>
      <c r="CZ73" s="188"/>
      <c r="DA73" s="721"/>
      <c r="DB73" s="738"/>
      <c r="DC73" s="738"/>
      <c r="DD73" s="721"/>
      <c r="DE73" s="722"/>
      <c r="DF73" s="721"/>
      <c r="DG73" s="738"/>
      <c r="DH73" s="738"/>
      <c r="DI73" s="723"/>
      <c r="DJ73" s="723"/>
      <c r="DK73" s="723"/>
      <c r="DL73" s="723"/>
      <c r="DM73" s="723"/>
      <c r="DN73" s="723"/>
      <c r="DU73" s="173"/>
      <c r="DV73" s="173"/>
      <c r="DW73" s="723"/>
      <c r="DX73" s="723"/>
      <c r="DY73" s="723"/>
      <c r="DZ73" s="723"/>
      <c r="EA73" s="723"/>
    </row>
    <row r="74" spans="1:143" hidden="1" outlineLevel="1" x14ac:dyDescent="0.2">
      <c r="A74" s="186"/>
      <c r="B74" s="173"/>
      <c r="C74" s="173"/>
      <c r="D74" s="95"/>
      <c r="E74" s="95"/>
      <c r="F74" s="95"/>
      <c r="G74" s="95"/>
      <c r="H74" s="96"/>
      <c r="I74" s="95"/>
      <c r="J74" s="95"/>
      <c r="K74" s="95"/>
      <c r="L74" s="95"/>
      <c r="M74" s="96"/>
      <c r="N74" s="95"/>
      <c r="O74" s="95"/>
      <c r="P74" s="90"/>
      <c r="Q74" s="90"/>
      <c r="R74" s="98"/>
      <c r="S74" s="90"/>
      <c r="T74" s="90"/>
      <c r="U74" s="90"/>
      <c r="V74" s="90"/>
      <c r="W74" s="98"/>
      <c r="X74" s="90"/>
      <c r="Y74" s="90"/>
      <c r="Z74" s="90"/>
      <c r="AA74" s="90"/>
      <c r="AB74" s="98"/>
      <c r="AC74" s="90"/>
      <c r="AD74" s="70"/>
      <c r="AE74" s="90"/>
      <c r="AF74" s="90"/>
      <c r="AG74" s="98"/>
      <c r="AH74" s="90"/>
      <c r="AI74" s="90"/>
      <c r="AJ74" s="90"/>
      <c r="AK74" s="90"/>
      <c r="AL74" s="98"/>
      <c r="AM74" s="90"/>
      <c r="AN74" s="90"/>
      <c r="AO74" s="90"/>
      <c r="AP74" s="90"/>
      <c r="AQ74" s="98"/>
      <c r="AR74" s="90"/>
      <c r="AS74" s="90"/>
      <c r="AT74" s="97"/>
      <c r="AU74" s="90"/>
      <c r="AV74" s="189"/>
      <c r="AW74" s="90"/>
      <c r="AX74" s="90"/>
      <c r="AY74" s="90"/>
      <c r="AZ74" s="90"/>
      <c r="BA74" s="98"/>
      <c r="BB74" s="90"/>
      <c r="BC74" s="90"/>
      <c r="BD74" s="90"/>
      <c r="BE74" s="90"/>
      <c r="BF74" s="98"/>
      <c r="BG74" s="90"/>
      <c r="BH74" s="90"/>
      <c r="BI74" s="90"/>
      <c r="BJ74" s="90"/>
      <c r="BK74" s="98"/>
      <c r="BL74" s="90"/>
      <c r="BM74" s="90"/>
      <c r="BN74" s="90"/>
      <c r="BO74" s="90"/>
      <c r="BP74" s="98"/>
      <c r="BQ74" s="90"/>
      <c r="BR74" s="90"/>
      <c r="BS74" s="90"/>
      <c r="BT74" s="90"/>
      <c r="BU74" s="98"/>
      <c r="BV74" s="90"/>
      <c r="BW74" s="90"/>
      <c r="BX74" s="90"/>
      <c r="BY74" s="90"/>
      <c r="BZ74" s="98"/>
      <c r="CA74" s="90"/>
      <c r="CB74" s="90"/>
      <c r="CC74" s="90"/>
      <c r="CD74" s="90"/>
      <c r="CE74" s="98"/>
      <c r="CF74" s="90"/>
      <c r="CG74" s="90"/>
      <c r="CH74" s="90"/>
      <c r="CI74" s="90"/>
      <c r="CJ74" s="98"/>
      <c r="CK74" s="90"/>
      <c r="CL74" s="90"/>
      <c r="CM74" s="90"/>
      <c r="CN74" s="90"/>
      <c r="CO74" s="98"/>
      <c r="CP74" s="90"/>
      <c r="CQ74" s="90"/>
      <c r="CR74" s="90"/>
      <c r="CS74" s="90"/>
      <c r="CT74" s="98"/>
      <c r="CU74" s="90"/>
      <c r="CV74" s="90"/>
      <c r="CW74" s="90"/>
      <c r="CX74" s="90"/>
      <c r="CY74" s="98"/>
      <c r="CZ74" s="97"/>
      <c r="DA74" s="721"/>
      <c r="DB74" s="750"/>
      <c r="DC74" s="815"/>
      <c r="DD74" s="721"/>
      <c r="DE74" s="722"/>
      <c r="DF74" s="649"/>
      <c r="DG74" s="750"/>
      <c r="DH74" s="750"/>
      <c r="DI74" s="723"/>
      <c r="DJ74" s="723"/>
      <c r="DK74" s="723"/>
      <c r="DL74" s="723"/>
      <c r="DM74" s="723"/>
      <c r="DN74" s="723"/>
      <c r="DU74" s="173"/>
      <c r="DV74" s="173"/>
      <c r="DW74" s="723"/>
      <c r="DX74" s="723"/>
      <c r="DY74" s="723"/>
      <c r="DZ74" s="723"/>
      <c r="EA74" s="723"/>
      <c r="EH74" s="564"/>
      <c r="EI74" s="564"/>
    </row>
    <row r="75" spans="1:143" hidden="1" outlineLevel="1" x14ac:dyDescent="0.2">
      <c r="A75" s="186" t="s">
        <v>93</v>
      </c>
      <c r="B75" s="186"/>
      <c r="C75" s="171"/>
      <c r="D75" s="32">
        <f t="shared" ref="D75:AI75" si="101">+D73/D78</f>
        <v>0.20483269043810962</v>
      </c>
      <c r="E75" s="32">
        <f t="shared" si="101"/>
        <v>0.17076567016546462</v>
      </c>
      <c r="F75" s="32">
        <f t="shared" si="101"/>
        <v>0.36270972713580163</v>
      </c>
      <c r="G75" s="32">
        <f t="shared" si="101"/>
        <v>0.27395187384983039</v>
      </c>
      <c r="H75" s="190">
        <f t="shared" si="101"/>
        <v>1.0304727531136628</v>
      </c>
      <c r="I75" s="57">
        <f t="shared" si="101"/>
        <v>0.22305028180581687</v>
      </c>
      <c r="J75" s="57">
        <f t="shared" si="101"/>
        <v>0.34703585557894551</v>
      </c>
      <c r="K75" s="57">
        <f t="shared" si="101"/>
        <v>0.41504463444305467</v>
      </c>
      <c r="L75" s="57">
        <f t="shared" si="101"/>
        <v>0.20158268446657435</v>
      </c>
      <c r="M75" s="191">
        <f t="shared" si="101"/>
        <v>1.1861752338453619</v>
      </c>
      <c r="N75" s="57">
        <f t="shared" si="101"/>
        <v>0.3180085154983745</v>
      </c>
      <c r="O75" s="57">
        <f t="shared" si="101"/>
        <v>0.34449598654792946</v>
      </c>
      <c r="P75" s="57">
        <f t="shared" si="101"/>
        <v>0.45686406826974335</v>
      </c>
      <c r="Q75" s="57">
        <f t="shared" si="101"/>
        <v>0.24293728711681037</v>
      </c>
      <c r="R75" s="191">
        <f t="shared" si="101"/>
        <v>1.3627585282375467</v>
      </c>
      <c r="S75" s="57">
        <f t="shared" si="101"/>
        <v>0.35610162432319892</v>
      </c>
      <c r="T75" s="57">
        <f t="shared" si="101"/>
        <v>0.28462287469103426</v>
      </c>
      <c r="U75" s="57">
        <f t="shared" si="101"/>
        <v>0.45029992146902986</v>
      </c>
      <c r="V75" s="57">
        <f t="shared" si="101"/>
        <v>0.29302989572810756</v>
      </c>
      <c r="W75" s="191">
        <f t="shared" si="101"/>
        <v>1.3842316867690958</v>
      </c>
      <c r="X75" s="57">
        <f t="shared" si="101"/>
        <v>0.12765647556749329</v>
      </c>
      <c r="Y75" s="57">
        <f t="shared" si="101"/>
        <v>0.32877336981304167</v>
      </c>
      <c r="Z75" s="57">
        <f t="shared" si="101"/>
        <v>0.54504356702759837</v>
      </c>
      <c r="AA75" s="57">
        <f t="shared" si="101"/>
        <v>-3.8084115347241547</v>
      </c>
      <c r="AB75" s="191">
        <f t="shared" si="101"/>
        <v>-2.7511494897387019</v>
      </c>
      <c r="AC75" s="57">
        <f t="shared" si="101"/>
        <v>0.2034801492796077</v>
      </c>
      <c r="AD75" s="57">
        <f t="shared" si="101"/>
        <v>-0.10301652348731342</v>
      </c>
      <c r="AE75" s="57">
        <f t="shared" si="101"/>
        <v>0.37953510358808407</v>
      </c>
      <c r="AF75" s="57">
        <f t="shared" si="101"/>
        <v>-1.8503525130770979</v>
      </c>
      <c r="AG75" s="191">
        <f t="shared" si="101"/>
        <v>-1.3704360478334028</v>
      </c>
      <c r="AH75" s="57">
        <f t="shared" si="101"/>
        <v>2.9569647893731364E-2</v>
      </c>
      <c r="AI75" s="57">
        <f t="shared" si="101"/>
        <v>0.45171579510135318</v>
      </c>
      <c r="AJ75" s="57">
        <f t="shared" ref="AJ75:BK75" si="102">+AJ73/AJ78</f>
        <v>0.1984653810670324</v>
      </c>
      <c r="AK75" s="57">
        <f t="shared" si="102"/>
        <v>-0.22904480803615548</v>
      </c>
      <c r="AL75" s="191">
        <f t="shared" si="102"/>
        <v>0.44871703641454669</v>
      </c>
      <c r="AM75" s="57">
        <f ca="1">+AM73/AM78</f>
        <v>0.39950104178089701</v>
      </c>
      <c r="AN75" s="57">
        <f ca="1">+AN73/AN78</f>
        <v>0.44234166394347108</v>
      </c>
      <c r="AO75" s="57">
        <f ca="1">+AO73/AO78</f>
        <v>1.5621040777063486</v>
      </c>
      <c r="AP75" s="57">
        <f ca="1">+AP73/AP78</f>
        <v>0.21564509901782597</v>
      </c>
      <c r="AQ75" s="191">
        <f t="shared" si="102"/>
        <v>2.6175154959885849</v>
      </c>
      <c r="AR75" s="57">
        <f t="shared" si="102"/>
        <v>0.34665028802218545</v>
      </c>
      <c r="AS75" s="57">
        <f t="shared" si="102"/>
        <v>0.76107561609211549</v>
      </c>
      <c r="AT75" s="57">
        <f t="shared" si="102"/>
        <v>0.51642660385447425</v>
      </c>
      <c r="AU75" s="57">
        <f t="shared" si="102"/>
        <v>0.51253215766086291</v>
      </c>
      <c r="AV75" s="191">
        <f t="shared" si="102"/>
        <v>2.1322278402147088</v>
      </c>
      <c r="AW75" s="57">
        <f t="shared" si="102"/>
        <v>0.37842752850032307</v>
      </c>
      <c r="AX75" s="57">
        <f t="shared" si="102"/>
        <v>0.67482668977469684</v>
      </c>
      <c r="AY75" s="57">
        <f t="shared" si="102"/>
        <v>0.57723937246963553</v>
      </c>
      <c r="AZ75" s="57">
        <f t="shared" si="102"/>
        <v>0.42576697986856976</v>
      </c>
      <c r="BA75" s="191">
        <f t="shared" si="102"/>
        <v>2.0377600403558458</v>
      </c>
      <c r="BB75" s="57">
        <f t="shared" si="102"/>
        <v>0.37817368280618197</v>
      </c>
      <c r="BC75" s="57">
        <f t="shared" si="102"/>
        <v>0.95900227172239239</v>
      </c>
      <c r="BD75" s="57">
        <f t="shared" si="102"/>
        <v>1.0965155844549226</v>
      </c>
      <c r="BE75" s="57">
        <f t="shared" si="102"/>
        <v>0.8139143707854456</v>
      </c>
      <c r="BF75" s="191">
        <f t="shared" si="102"/>
        <v>3.2479627473806767</v>
      </c>
      <c r="BG75" s="57">
        <f t="shared" si="102"/>
        <v>1.0740774014514023</v>
      </c>
      <c r="BH75" s="57">
        <f t="shared" si="102"/>
        <v>1.1055776892430267</v>
      </c>
      <c r="BI75" s="57">
        <f t="shared" si="102"/>
        <v>1.2336294441463467</v>
      </c>
      <c r="BJ75" s="57">
        <f t="shared" si="102"/>
        <v>1.026181221130926</v>
      </c>
      <c r="BK75" s="191">
        <f t="shared" si="102"/>
        <v>4.4392523364485985</v>
      </c>
      <c r="BL75" s="57">
        <f t="shared" ref="BL75:BX75" si="103">+BL73/BL78</f>
        <v>1.2639570136304255</v>
      </c>
      <c r="BM75" s="57">
        <f t="shared" si="103"/>
        <v>1.5636847028703666</v>
      </c>
      <c r="BN75" s="57">
        <f t="shared" si="103"/>
        <v>1.4164902790843525</v>
      </c>
      <c r="BO75" s="57">
        <f t="shared" si="103"/>
        <v>1.1862118708910239</v>
      </c>
      <c r="BP75" s="191">
        <f t="shared" si="103"/>
        <v>5.4289961876818431</v>
      </c>
      <c r="BQ75" s="57">
        <f t="shared" si="103"/>
        <v>1.5435743992391393</v>
      </c>
      <c r="BR75" s="57">
        <f t="shared" si="103"/>
        <v>1.7719004020813511</v>
      </c>
      <c r="BS75" s="57">
        <f t="shared" si="103"/>
        <v>1.9629555773856417</v>
      </c>
      <c r="BT75" s="57">
        <f t="shared" si="103"/>
        <v>1.4809774451137756</v>
      </c>
      <c r="BU75" s="191">
        <f t="shared" si="103"/>
        <v>6.7648543108981443</v>
      </c>
      <c r="BV75" s="57">
        <f t="shared" si="103"/>
        <v>2.340446699497587</v>
      </c>
      <c r="BW75" s="57">
        <f t="shared" si="103"/>
        <v>2.4688844079346013</v>
      </c>
      <c r="BX75" s="57">
        <f t="shared" si="103"/>
        <v>2.0012228037996391</v>
      </c>
      <c r="BY75" s="57">
        <f t="shared" ref="BY75:CY75" si="104">+BY73/BY78</f>
        <v>1.9018115833057643</v>
      </c>
      <c r="BZ75" s="191">
        <f t="shared" si="104"/>
        <v>8.7148074770218926</v>
      </c>
      <c r="CA75" s="57">
        <f t="shared" ca="1" si="104"/>
        <v>2.5066304637483281</v>
      </c>
      <c r="CB75" s="57">
        <f t="shared" ca="1" si="104"/>
        <v>2.8471160826757571</v>
      </c>
      <c r="CC75" s="57">
        <f t="shared" ca="1" si="104"/>
        <v>2.3719290074718757</v>
      </c>
      <c r="CD75" s="57">
        <f t="shared" ca="1" si="104"/>
        <v>2.1192511110578818</v>
      </c>
      <c r="CE75" s="191">
        <f t="shared" ca="1" si="104"/>
        <v>9.8491613923280532</v>
      </c>
      <c r="CF75" s="57">
        <f t="shared" ca="1" si="104"/>
        <v>2.8215425189699639</v>
      </c>
      <c r="CG75" s="57">
        <f t="shared" ca="1" si="104"/>
        <v>3.2100298422913589</v>
      </c>
      <c r="CH75" s="57">
        <f t="shared" ca="1" si="104"/>
        <v>2.6684875344502887</v>
      </c>
      <c r="CI75" s="57">
        <f t="shared" ca="1" si="104"/>
        <v>2.3924305688134733</v>
      </c>
      <c r="CJ75" s="191">
        <f t="shared" ca="1" si="104"/>
        <v>11.100121344160531</v>
      </c>
      <c r="CK75" s="57">
        <f t="shared" ca="1" si="104"/>
        <v>3.1267244284048172</v>
      </c>
      <c r="CL75" s="57">
        <f t="shared" ca="1" si="104"/>
        <v>3.5584504368136498</v>
      </c>
      <c r="CM75" s="57">
        <f t="shared" ca="1" si="104"/>
        <v>2.9485562889899999</v>
      </c>
      <c r="CN75" s="57">
        <f t="shared" ca="1" si="104"/>
        <v>2.6551849565974863</v>
      </c>
      <c r="CO75" s="191">
        <f t="shared" ca="1" si="104"/>
        <v>12.296818759760743</v>
      </c>
      <c r="CP75" s="57">
        <f t="shared" ca="1" si="104"/>
        <v>3.4531794523270012</v>
      </c>
      <c r="CQ75" s="57">
        <f t="shared" ca="1" si="104"/>
        <v>3.926649749094187</v>
      </c>
      <c r="CR75" s="57">
        <f t="shared" ca="1" si="104"/>
        <v>3.2468481545313357</v>
      </c>
      <c r="CS75" s="57">
        <f t="shared" ca="1" si="104"/>
        <v>2.9346022825784215</v>
      </c>
      <c r="CT75" s="191">
        <f t="shared" ca="1" si="104"/>
        <v>13.569409066912826</v>
      </c>
      <c r="CU75" s="57">
        <f t="shared" ca="1" si="104"/>
        <v>3.7848993869958432</v>
      </c>
      <c r="CV75" s="57">
        <f t="shared" ca="1" si="104"/>
        <v>4.296829520039597</v>
      </c>
      <c r="CW75" s="57">
        <f t="shared" ca="1" si="104"/>
        <v>3.5457234795565835</v>
      </c>
      <c r="CX75" s="57">
        <f t="shared" ca="1" si="104"/>
        <v>3.2120010391044875</v>
      </c>
      <c r="CY75" s="191">
        <f t="shared" ca="1" si="104"/>
        <v>14.847782856296661</v>
      </c>
      <c r="CZ75" s="192"/>
      <c r="DA75" s="721"/>
      <c r="DB75" s="819"/>
      <c r="DC75" s="819"/>
      <c r="DD75" s="721"/>
      <c r="DE75" s="722"/>
      <c r="DF75" s="721"/>
      <c r="DG75" s="819"/>
      <c r="DH75" s="819"/>
      <c r="DI75" s="723"/>
      <c r="DJ75" s="723"/>
      <c r="DK75" s="723"/>
      <c r="DL75" s="723"/>
      <c r="DM75" s="723"/>
      <c r="DN75" s="723"/>
      <c r="DU75" s="173"/>
      <c r="DV75" s="173"/>
      <c r="DW75" s="723"/>
      <c r="DX75" s="723"/>
      <c r="DY75" s="723"/>
      <c r="DZ75" s="723"/>
      <c r="EA75" s="723"/>
      <c r="EG75" s="767"/>
      <c r="EH75" s="767"/>
    </row>
    <row r="76" spans="1:143" ht="6" customHeight="1" collapsed="1" x14ac:dyDescent="0.2">
      <c r="A76" s="48"/>
      <c r="B76" s="48"/>
      <c r="C76" s="48"/>
      <c r="D76" s="63"/>
      <c r="E76" s="63"/>
      <c r="F76" s="63"/>
      <c r="G76" s="176"/>
      <c r="H76" s="190"/>
      <c r="I76" s="63"/>
      <c r="J76" s="176"/>
      <c r="K76" s="176"/>
      <c r="L76" s="63"/>
      <c r="M76" s="190"/>
      <c r="N76" s="63"/>
      <c r="O76" s="176"/>
      <c r="P76" s="57"/>
      <c r="Q76" s="56"/>
      <c r="R76" s="191"/>
      <c r="S76" s="56"/>
      <c r="T76" s="57"/>
      <c r="U76" s="57"/>
      <c r="V76" s="56"/>
      <c r="W76" s="191"/>
      <c r="X76" s="56"/>
      <c r="Y76" s="57"/>
      <c r="Z76" s="53"/>
      <c r="AA76" s="53"/>
      <c r="AB76" s="174"/>
      <c r="AC76" s="56"/>
      <c r="AD76" s="57"/>
      <c r="AE76" s="57"/>
      <c r="AF76" s="56"/>
      <c r="AG76" s="174"/>
      <c r="AH76" s="56"/>
      <c r="AI76" s="56"/>
      <c r="AJ76" s="57"/>
      <c r="AK76" s="57"/>
      <c r="AL76" s="174"/>
      <c r="AM76" s="169"/>
      <c r="AN76" s="169"/>
      <c r="AO76" s="169"/>
      <c r="AP76" s="169"/>
      <c r="AQ76" s="175"/>
      <c r="AR76" s="169"/>
      <c r="AS76" s="169"/>
      <c r="AT76" s="193"/>
      <c r="AU76" s="169"/>
      <c r="AV76" s="194"/>
      <c r="AW76" s="169"/>
      <c r="AX76" s="57"/>
      <c r="AY76" s="57"/>
      <c r="AZ76" s="57"/>
      <c r="BA76" s="195"/>
      <c r="BB76" s="196"/>
      <c r="BC76" s="196"/>
      <c r="BD76" s="196"/>
      <c r="BE76" s="196"/>
      <c r="BF76" s="174"/>
      <c r="BG76" s="57"/>
      <c r="BH76" s="57"/>
      <c r="BI76" s="57"/>
      <c r="BJ76" s="57"/>
      <c r="BK76" s="316"/>
      <c r="BL76" s="57"/>
      <c r="BM76" s="62"/>
      <c r="BN76" s="57"/>
      <c r="BO76" s="57"/>
      <c r="BP76" s="174"/>
      <c r="BQ76" s="57"/>
      <c r="BR76" s="57"/>
      <c r="BS76" s="57"/>
      <c r="BT76" s="57"/>
      <c r="BU76" s="174"/>
      <c r="BV76" s="57"/>
      <c r="BW76" s="57"/>
      <c r="BX76" s="57"/>
      <c r="BY76" s="57"/>
      <c r="BZ76" s="374"/>
      <c r="CA76" s="57"/>
      <c r="CB76" s="57"/>
      <c r="CC76" s="57"/>
      <c r="CD76" s="57"/>
      <c r="CE76" s="174"/>
      <c r="CF76" s="57"/>
      <c r="CG76" s="57"/>
      <c r="CH76" s="57"/>
      <c r="CI76" s="57"/>
      <c r="CJ76" s="174"/>
      <c r="CK76" s="57"/>
      <c r="CL76" s="57"/>
      <c r="CM76" s="57"/>
      <c r="CN76" s="57"/>
      <c r="CO76" s="174"/>
      <c r="CP76" s="57"/>
      <c r="CQ76" s="57"/>
      <c r="CR76" s="57"/>
      <c r="CS76" s="57"/>
      <c r="CT76" s="174"/>
      <c r="CU76" s="57"/>
      <c r="CV76" s="57"/>
      <c r="CW76" s="57"/>
      <c r="CX76" s="57"/>
      <c r="CY76" s="174"/>
      <c r="CZ76" s="197"/>
      <c r="DB76" s="819"/>
      <c r="DC76" s="819"/>
      <c r="DE76" s="722"/>
      <c r="DF76" s="721"/>
      <c r="DG76" s="819"/>
      <c r="DH76" s="819"/>
      <c r="DI76" s="730"/>
      <c r="DJ76" s="730"/>
      <c r="DK76" s="730"/>
      <c r="DL76" s="730"/>
      <c r="DM76" s="730"/>
      <c r="DN76" s="730"/>
      <c r="DU76" s="48"/>
      <c r="DV76" s="48"/>
      <c r="DW76" s="730"/>
      <c r="DX76" s="730"/>
      <c r="DY76" s="730"/>
      <c r="DZ76" s="730"/>
      <c r="EA76" s="730"/>
    </row>
    <row r="77" spans="1:143" x14ac:dyDescent="0.2">
      <c r="A77" s="48" t="s">
        <v>94</v>
      </c>
      <c r="B77" s="48"/>
      <c r="C77" s="48"/>
      <c r="D77" s="62"/>
      <c r="E77" s="62"/>
      <c r="F77" s="62"/>
      <c r="G77" s="62"/>
      <c r="H77" s="141"/>
      <c r="I77" s="62"/>
      <c r="J77" s="62"/>
      <c r="K77" s="62"/>
      <c r="L77" s="62"/>
      <c r="M77" s="141"/>
      <c r="N77" s="62">
        <v>219.52199999999999</v>
      </c>
      <c r="O77" s="62">
        <v>220.42500000000001</v>
      </c>
      <c r="P77" s="62">
        <v>221.108</v>
      </c>
      <c r="Q77" s="62">
        <v>222.22400000000002</v>
      </c>
      <c r="R77" s="141">
        <f>AVERAGE(N77:Q77)</f>
        <v>220.81975000000003</v>
      </c>
      <c r="S77" s="62">
        <v>223.42400000000001</v>
      </c>
      <c r="T77" s="62">
        <v>224.161</v>
      </c>
      <c r="U77" s="62">
        <v>233.36100000000002</v>
      </c>
      <c r="V77" s="62">
        <v>234.452</v>
      </c>
      <c r="W77" s="141">
        <f>AVERAGE(S77:V77)</f>
        <v>228.84950000000001</v>
      </c>
      <c r="X77" s="62">
        <v>229.46</v>
      </c>
      <c r="Y77" s="62">
        <v>215.12700000000001</v>
      </c>
      <c r="Z77" s="62">
        <v>215.387</v>
      </c>
      <c r="AA77" s="62">
        <v>215.74</v>
      </c>
      <c r="AB77" s="141">
        <f>AVERAGE(X77:AA77)</f>
        <v>218.92849999999999</v>
      </c>
      <c r="AC77" s="62">
        <v>216.56100000000001</v>
      </c>
      <c r="AD77" s="62">
        <v>217.48699999999999</v>
      </c>
      <c r="AE77" s="62">
        <v>218.19499999999999</v>
      </c>
      <c r="AF77" s="62">
        <v>218.41300000000001</v>
      </c>
      <c r="AG77" s="141">
        <f>AVERAGE(AC77:AF77)</f>
        <v>217.66399999999999</v>
      </c>
      <c r="AH77" s="62">
        <v>218.977</v>
      </c>
      <c r="AI77" s="62">
        <v>219.64600000000002</v>
      </c>
      <c r="AJ77" s="146">
        <v>220.239</v>
      </c>
      <c r="AK77" s="62">
        <f>196.752+23.729</f>
        <v>220.48099999999999</v>
      </c>
      <c r="AL77" s="178">
        <f>AVERAGE(AH77:AK77)</f>
        <v>219.83575000000002</v>
      </c>
      <c r="AM77" s="62">
        <f>192.713+23.726</f>
        <v>216.43899999999999</v>
      </c>
      <c r="AN77" s="62">
        <f>185.455+23.712</f>
        <v>209.167</v>
      </c>
      <c r="AO77" s="62">
        <f>186.272+23.68</f>
        <v>209.952</v>
      </c>
      <c r="AP77" s="62">
        <f>184.382+23.623</f>
        <v>208.005</v>
      </c>
      <c r="AQ77" s="178">
        <f>187.224+23.686</f>
        <v>210.91</v>
      </c>
      <c r="AR77" s="62">
        <f>187.046+23.604</f>
        <v>210.64999999999998</v>
      </c>
      <c r="AS77" s="62">
        <f>186.629+23.593</f>
        <v>210.22199999999998</v>
      </c>
      <c r="AT77" s="179">
        <f>176.293+23.858</f>
        <v>200.15100000000001</v>
      </c>
      <c r="AU77" s="62">
        <f>172.796+23.578</f>
        <v>196.374</v>
      </c>
      <c r="AV77" s="178">
        <f>180.724+23.59</f>
        <v>204.31399999999999</v>
      </c>
      <c r="AW77" s="62">
        <f>162.259+23.554</f>
        <v>185.81299999999999</v>
      </c>
      <c r="AX77" s="62">
        <f>154.794+23.536</f>
        <v>178.33</v>
      </c>
      <c r="AY77" s="62">
        <f>158.27+23.524</f>
        <v>181.79400000000001</v>
      </c>
      <c r="AZ77" s="62">
        <f>159.32+23.512</f>
        <v>182.83199999999999</v>
      </c>
      <c r="BA77" s="178">
        <f>158.658+23.532</f>
        <v>182.19</v>
      </c>
      <c r="BB77" s="62">
        <f>161.729+23.499</f>
        <v>185.22800000000001</v>
      </c>
      <c r="BC77" s="62">
        <f>164.825+23.472</f>
        <v>188.297</v>
      </c>
      <c r="BD77" s="62">
        <f>165.708+23.461</f>
        <v>189.16899999999998</v>
      </c>
      <c r="BE77" s="146">
        <f>166.537+23.438</f>
        <v>189.97499999999999</v>
      </c>
      <c r="BF77" s="178">
        <f>164.687+23.467</f>
        <v>188.154</v>
      </c>
      <c r="BG77" s="146">
        <f>168.158+23.415</f>
        <v>191.57299999999998</v>
      </c>
      <c r="BH77" s="146">
        <f>169.158+23.401</f>
        <v>192.559</v>
      </c>
      <c r="BI77" s="146">
        <f>169.585+23.387</f>
        <v>192.97200000000001</v>
      </c>
      <c r="BJ77" s="146">
        <f>170.415+23.384</f>
        <v>193.79899999999998</v>
      </c>
      <c r="BK77" s="178">
        <f>AVERAGE(BG77:BJ77)</f>
        <v>192.72574999999998</v>
      </c>
      <c r="BL77" s="62">
        <f>171.37+23.376</f>
        <v>194.74600000000001</v>
      </c>
      <c r="BM77" s="62">
        <f>172.239+23.364</f>
        <v>195.60300000000001</v>
      </c>
      <c r="BN77" s="62">
        <f>173.933+23.358</f>
        <v>197.291</v>
      </c>
      <c r="BO77" s="62">
        <f>176.024+23.353</f>
        <v>199.37700000000001</v>
      </c>
      <c r="BP77" s="178">
        <f>AVERAGE(BL77:BO77)</f>
        <v>196.75425000000001</v>
      </c>
      <c r="BQ77" s="62">
        <f>176.542+23.353</f>
        <v>199.89500000000001</v>
      </c>
      <c r="BR77" s="62">
        <f>177.46+23.535</f>
        <v>200.995</v>
      </c>
      <c r="BS77" s="62">
        <f>177.513+23.353</f>
        <v>200.86600000000001</v>
      </c>
      <c r="BT77" s="62">
        <f>172.155+23.353</f>
        <v>195.50800000000001</v>
      </c>
      <c r="BU77" s="178">
        <f>AVERAGE(BQ77:BT77)</f>
        <v>199.316</v>
      </c>
      <c r="BV77" s="62">
        <f>171.555+23.344</f>
        <v>194.899</v>
      </c>
      <c r="BW77" s="62">
        <f>172.087+23.338</f>
        <v>195.42499999999998</v>
      </c>
      <c r="BX77" s="62">
        <f>171.922+23.333</f>
        <v>195.255</v>
      </c>
      <c r="BY77" s="62">
        <f>170.243+23.329</f>
        <v>193.572</v>
      </c>
      <c r="BZ77" s="178">
        <f>AVERAGE(BV77:BY77)</f>
        <v>194.78774999999999</v>
      </c>
      <c r="CA77" s="62">
        <f>+CA85</f>
        <v>191.28684794028649</v>
      </c>
      <c r="CB77" s="62">
        <f>+CB85</f>
        <v>190.29981582383289</v>
      </c>
      <c r="CC77" s="62">
        <f>+CC85</f>
        <v>189.19387696636539</v>
      </c>
      <c r="CD77" s="62">
        <f>+CD85</f>
        <v>188.29528861410631</v>
      </c>
      <c r="CE77" s="178">
        <f>AVERAGE(CA77:CD77)</f>
        <v>189.76895733614776</v>
      </c>
      <c r="CF77" s="62">
        <f>+CF85</f>
        <v>187.21533789537594</v>
      </c>
      <c r="CG77" s="62">
        <f>+CG85</f>
        <v>185.63365519351046</v>
      </c>
      <c r="CH77" s="62">
        <f>+CH85</f>
        <v>183.94472556603131</v>
      </c>
      <c r="CI77" s="62">
        <f>+CI85</f>
        <v>182.47457763532941</v>
      </c>
      <c r="CJ77" s="178">
        <f>AVERAGE(CF77:CI77)</f>
        <v>184.81707407256178</v>
      </c>
      <c r="CK77" s="62">
        <f>+CK85</f>
        <v>181.18882033071972</v>
      </c>
      <c r="CL77" s="62">
        <f>+CL85</f>
        <v>179.75991240823325</v>
      </c>
      <c r="CM77" s="62">
        <f>+CM85</f>
        <v>178.22076197622368</v>
      </c>
      <c r="CN77" s="62">
        <f>+CN85</f>
        <v>176.89745639402145</v>
      </c>
      <c r="CO77" s="178">
        <f>AVERAGE(CK77:CN77)</f>
        <v>179.01673777729951</v>
      </c>
      <c r="CP77" s="62">
        <f>+CP85</f>
        <v>175.75566217617612</v>
      </c>
      <c r="CQ77" s="62">
        <f>+CQ85</f>
        <v>174.46789453483117</v>
      </c>
      <c r="CR77" s="62">
        <f>+CR85</f>
        <v>173.06711692747018</v>
      </c>
      <c r="CS77" s="62">
        <f>+CS85</f>
        <v>171.8794709772763</v>
      </c>
      <c r="CT77" s="178">
        <f>AVERAGE(CP77:CS77)</f>
        <v>173.79253615393844</v>
      </c>
      <c r="CU77" s="62">
        <f>+CU85</f>
        <v>170.87067639865484</v>
      </c>
      <c r="CV77" s="62">
        <f>+CV85</f>
        <v>169.71330056047054</v>
      </c>
      <c r="CW77" s="62">
        <f>+CW85</f>
        <v>168.44035805424747</v>
      </c>
      <c r="CX77" s="62">
        <f>+CX85</f>
        <v>167.37804063458094</v>
      </c>
      <c r="CY77" s="178">
        <f>AVERAGE(CU77:CX77)</f>
        <v>169.10059391198843</v>
      </c>
      <c r="CZ77" s="179"/>
      <c r="DA77" s="490"/>
      <c r="DB77" s="735"/>
      <c r="DC77" s="735"/>
      <c r="DD77" s="564"/>
      <c r="DE77" s="726"/>
      <c r="DF77" s="490"/>
      <c r="DG77" s="735"/>
      <c r="DH77" s="735"/>
      <c r="DI77" s="730"/>
      <c r="DJ77" s="730"/>
      <c r="DK77" s="730"/>
      <c r="DL77" s="420"/>
      <c r="DM77" s="420"/>
      <c r="DN77" s="730"/>
      <c r="DU77" s="48"/>
      <c r="DV77" s="48"/>
      <c r="DW77" s="730"/>
      <c r="DX77" s="730"/>
      <c r="DY77" s="730"/>
      <c r="DZ77" s="730"/>
      <c r="EA77" s="730"/>
      <c r="EG77" s="767"/>
    </row>
    <row r="78" spans="1:143" x14ac:dyDescent="0.2">
      <c r="A78" s="48" t="s">
        <v>95</v>
      </c>
      <c r="B78" s="48"/>
      <c r="C78" s="48"/>
      <c r="D78" s="62">
        <f>95.661*2</f>
        <v>191.322</v>
      </c>
      <c r="E78" s="62">
        <f>104.131*2</f>
        <v>208.262</v>
      </c>
      <c r="F78" s="62">
        <f>114.196*2</f>
        <v>228.392</v>
      </c>
      <c r="G78" s="62">
        <f>114.657*2</f>
        <v>229.31399999999999</v>
      </c>
      <c r="H78" s="141">
        <f>106.948*2</f>
        <v>213.89599999999999</v>
      </c>
      <c r="I78" s="62">
        <v>230.12299999999999</v>
      </c>
      <c r="J78" s="62">
        <v>232.29300000000001</v>
      </c>
      <c r="K78" s="62">
        <v>233.452</v>
      </c>
      <c r="L78" s="62">
        <v>236.18100000000001</v>
      </c>
      <c r="M78" s="141">
        <v>233.06</v>
      </c>
      <c r="N78" s="62">
        <v>238.154</v>
      </c>
      <c r="O78" s="62">
        <v>239.071</v>
      </c>
      <c r="P78" s="62">
        <v>238.583</v>
      </c>
      <c r="Q78" s="62">
        <v>239.56800000000001</v>
      </c>
      <c r="R78" s="141">
        <v>238.70699999999999</v>
      </c>
      <c r="S78" s="62">
        <v>240.1</v>
      </c>
      <c r="T78" s="62">
        <v>240.31800000000001</v>
      </c>
      <c r="U78" s="62">
        <v>239.39599999999999</v>
      </c>
      <c r="V78" s="62">
        <v>239.566</v>
      </c>
      <c r="W78" s="141">
        <v>239.77199999999999</v>
      </c>
      <c r="X78" s="62">
        <v>233.43899999999999</v>
      </c>
      <c r="Y78" s="62">
        <v>219.3</v>
      </c>
      <c r="Z78" s="62">
        <v>219.43199999999999</v>
      </c>
      <c r="AA78" s="62">
        <v>219.19900000000001</v>
      </c>
      <c r="AB78" s="141">
        <v>222.92500000000001</v>
      </c>
      <c r="AC78" s="119">
        <v>219.18600000000001</v>
      </c>
      <c r="AD78" s="62">
        <v>220.35300000000001</v>
      </c>
      <c r="AE78" s="62">
        <v>220.006</v>
      </c>
      <c r="AF78" s="62">
        <v>219.85</v>
      </c>
      <c r="AG78" s="141">
        <v>219.93</v>
      </c>
      <c r="AH78" s="62">
        <v>219.82</v>
      </c>
      <c r="AI78" s="62">
        <v>220.714</v>
      </c>
      <c r="AJ78" s="62">
        <v>222.20500000000001</v>
      </c>
      <c r="AK78" s="62">
        <v>222.59399999999999</v>
      </c>
      <c r="AL78" s="141">
        <f>AVERAGE(AH78:AK78)</f>
        <v>221.33325000000002</v>
      </c>
      <c r="AM78" s="62">
        <v>218.85599999999999</v>
      </c>
      <c r="AN78" s="62">
        <v>211.149</v>
      </c>
      <c r="AO78" s="62">
        <v>213.11</v>
      </c>
      <c r="AP78" s="62">
        <v>212.386</v>
      </c>
      <c r="AQ78" s="141">
        <v>213.76499999999999</v>
      </c>
      <c r="AR78" s="62">
        <v>214.91399999999999</v>
      </c>
      <c r="AS78" s="62">
        <v>213.64500000000001</v>
      </c>
      <c r="AT78" s="179">
        <v>202.93299999999999</v>
      </c>
      <c r="AU78" s="179">
        <v>200.96299999999999</v>
      </c>
      <c r="AV78" s="141">
        <v>208.655</v>
      </c>
      <c r="AW78" s="179">
        <v>190.261</v>
      </c>
      <c r="AX78" s="62">
        <v>184.64</v>
      </c>
      <c r="AY78" s="62">
        <v>189.696</v>
      </c>
      <c r="AZ78" s="62">
        <v>191.88900000000001</v>
      </c>
      <c r="BA78" s="141">
        <v>190.30699999999999</v>
      </c>
      <c r="BB78" s="62">
        <v>194.88399999999999</v>
      </c>
      <c r="BC78" s="62">
        <v>196.767</v>
      </c>
      <c r="BD78" s="62">
        <v>198.08199999999999</v>
      </c>
      <c r="BE78" s="62">
        <v>199.161</v>
      </c>
      <c r="BF78" s="141">
        <v>197.57</v>
      </c>
      <c r="BG78" s="146">
        <v>200.358</v>
      </c>
      <c r="BH78" s="146">
        <v>200.8</v>
      </c>
      <c r="BI78" s="146">
        <v>201.27600000000001</v>
      </c>
      <c r="BJ78" s="146">
        <v>202.20599999999999</v>
      </c>
      <c r="BK78" s="141">
        <f>AVERAGE(BG78:BJ78)</f>
        <v>201.16</v>
      </c>
      <c r="BL78" s="146">
        <v>202.85499999999999</v>
      </c>
      <c r="BM78" s="146">
        <v>203.11</v>
      </c>
      <c r="BN78" s="146">
        <v>204.096</v>
      </c>
      <c r="BO78" s="146">
        <v>205.191</v>
      </c>
      <c r="BP78" s="141">
        <f>AVERAGE(BL78:BO78)</f>
        <v>203.81300000000002</v>
      </c>
      <c r="BQ78" s="146">
        <v>205.36749</v>
      </c>
      <c r="BR78" s="146">
        <v>205.6549</v>
      </c>
      <c r="BS78" s="146">
        <v>205.45549</v>
      </c>
      <c r="BT78" s="146">
        <v>199.86799999999999</v>
      </c>
      <c r="BU78" s="595">
        <v>204.09899999999999</v>
      </c>
      <c r="BV78" s="146">
        <v>201.03</v>
      </c>
      <c r="BW78" s="146">
        <v>201.346</v>
      </c>
      <c r="BX78" s="146">
        <v>201.17699999999999</v>
      </c>
      <c r="BY78" s="146">
        <v>199.494</v>
      </c>
      <c r="BZ78" s="141">
        <f>AVERAGE(BV78:BY78)</f>
        <v>200.76175000000001</v>
      </c>
      <c r="CA78" s="62">
        <f>+CA87</f>
        <v>197.20884794028649</v>
      </c>
      <c r="CB78" s="62">
        <f>+CB87</f>
        <v>196.22081582383291</v>
      </c>
      <c r="CC78" s="62">
        <f>+CC87</f>
        <v>195.11587696636539</v>
      </c>
      <c r="CD78" s="62">
        <f>+CD87</f>
        <v>194.21728861410631</v>
      </c>
      <c r="CE78" s="141">
        <f>AVERAGE(CA78:CD78)</f>
        <v>195.69070733614777</v>
      </c>
      <c r="CF78" s="62">
        <f>+CF87</f>
        <v>193.13733789537594</v>
      </c>
      <c r="CG78" s="62">
        <f>+CG87</f>
        <v>191.55465519351048</v>
      </c>
      <c r="CH78" s="62">
        <f>+CH87</f>
        <v>189.86672556603131</v>
      </c>
      <c r="CI78" s="62">
        <f>+CI87</f>
        <v>188.39657763532941</v>
      </c>
      <c r="CJ78" s="141">
        <f>AVERAGE(CF78:CI78)</f>
        <v>190.73882407256178</v>
      </c>
      <c r="CK78" s="62">
        <f>+CK87</f>
        <v>187.11082033071972</v>
      </c>
      <c r="CL78" s="62">
        <f>+CL87</f>
        <v>185.68091240823327</v>
      </c>
      <c r="CM78" s="62">
        <f>+CM87</f>
        <v>184.14276197622368</v>
      </c>
      <c r="CN78" s="62">
        <f>+CN87</f>
        <v>182.81945639402144</v>
      </c>
      <c r="CO78" s="141">
        <f>AVERAGE(CK78:CN78)</f>
        <v>184.93848777729954</v>
      </c>
      <c r="CP78" s="62">
        <f>+CP87</f>
        <v>181.67766217617611</v>
      </c>
      <c r="CQ78" s="62">
        <f>+CQ87</f>
        <v>180.38889453483119</v>
      </c>
      <c r="CR78" s="62">
        <f>+CR87</f>
        <v>178.98911692747018</v>
      </c>
      <c r="CS78" s="62">
        <f>+CS87</f>
        <v>177.8014709772763</v>
      </c>
      <c r="CT78" s="141">
        <f>AVERAGE(CP78:CS78)</f>
        <v>179.71428615393845</v>
      </c>
      <c r="CU78" s="62">
        <f>+CU87</f>
        <v>176.79267639865483</v>
      </c>
      <c r="CV78" s="62">
        <f>+CV87</f>
        <v>175.63430056047056</v>
      </c>
      <c r="CW78" s="62">
        <f>+CW87</f>
        <v>174.36235805424747</v>
      </c>
      <c r="CX78" s="62">
        <f>+CX87</f>
        <v>173.30004063458094</v>
      </c>
      <c r="CY78" s="141">
        <f>AVERAGE(CU78:CX78)</f>
        <v>175.02234391198846</v>
      </c>
      <c r="CZ78" s="147"/>
      <c r="DA78" s="820"/>
      <c r="DB78" s="735"/>
      <c r="DC78" s="735"/>
      <c r="DD78" s="564"/>
      <c r="DE78" s="728"/>
      <c r="DF78" s="721"/>
      <c r="DG78" s="735"/>
      <c r="DH78" s="735"/>
      <c r="DI78" s="730"/>
      <c r="DJ78" s="730"/>
      <c r="DK78" s="730"/>
      <c r="DL78" s="723"/>
      <c r="DM78" s="723"/>
      <c r="DN78" s="730"/>
      <c r="DU78" s="48"/>
      <c r="DV78" s="48"/>
      <c r="DW78" s="730"/>
      <c r="DX78" s="730"/>
      <c r="DY78" s="730"/>
      <c r="DZ78" s="730"/>
      <c r="EA78" s="730"/>
      <c r="EG78" s="767"/>
    </row>
    <row r="79" spans="1:143" x14ac:dyDescent="0.2">
      <c r="A79" s="48"/>
      <c r="B79" s="48"/>
      <c r="C79" s="48"/>
      <c r="D79" s="62"/>
      <c r="E79" s="62"/>
      <c r="F79" s="62"/>
      <c r="G79" s="62"/>
      <c r="H79" s="178"/>
      <c r="I79" s="62"/>
      <c r="J79" s="62"/>
      <c r="K79" s="62"/>
      <c r="L79" s="62"/>
      <c r="M79" s="141"/>
      <c r="N79" s="62"/>
      <c r="O79" s="62"/>
      <c r="P79" s="62"/>
      <c r="Q79" s="62"/>
      <c r="R79" s="141"/>
      <c r="S79" s="62"/>
      <c r="T79" s="62"/>
      <c r="U79" s="62"/>
      <c r="V79" s="62"/>
      <c r="W79" s="141"/>
      <c r="X79" s="62"/>
      <c r="Y79" s="62"/>
      <c r="Z79" s="62"/>
      <c r="AA79" s="62"/>
      <c r="AB79" s="141"/>
      <c r="AC79" s="119"/>
      <c r="AD79" s="62"/>
      <c r="AE79" s="148"/>
      <c r="AF79" s="148"/>
      <c r="AG79" s="141"/>
      <c r="AH79" s="148"/>
      <c r="AI79" s="148"/>
      <c r="AJ79" s="148"/>
      <c r="AK79" s="169"/>
      <c r="AL79" s="161"/>
      <c r="AM79" s="169"/>
      <c r="AN79" s="169"/>
      <c r="AO79" s="169"/>
      <c r="AP79" s="169"/>
      <c r="AQ79" s="161"/>
      <c r="AR79" s="151"/>
      <c r="AS79" s="151"/>
      <c r="AT79" s="154"/>
      <c r="AU79" s="151"/>
      <c r="AV79" s="152"/>
      <c r="AW79" s="151"/>
      <c r="AX79" s="151"/>
      <c r="AY79" s="151"/>
      <c r="AZ79" s="143"/>
      <c r="BA79" s="152"/>
      <c r="BB79" s="151"/>
      <c r="BC79" s="151"/>
      <c r="BD79" s="151"/>
      <c r="BE79" s="151"/>
      <c r="BF79" s="152"/>
      <c r="BG79" s="148"/>
      <c r="BH79" s="148"/>
      <c r="BI79" s="123"/>
      <c r="BJ79" s="148"/>
      <c r="BK79" s="225">
        <f>+AVERAGE(4.1,4.25)</f>
        <v>4.1749999999999998</v>
      </c>
      <c r="BL79" s="148"/>
      <c r="BM79" s="148"/>
      <c r="BN79" s="148"/>
      <c r="BO79" s="148"/>
      <c r="BP79" s="199"/>
      <c r="BQ79" s="123"/>
      <c r="BR79" s="123"/>
      <c r="BS79" s="123"/>
      <c r="BT79" s="123"/>
      <c r="BU79" s="199"/>
      <c r="BV79" s="547"/>
      <c r="BW79" s="148"/>
      <c r="BX79" s="547"/>
      <c r="BY79" s="148"/>
      <c r="BZ79" s="199"/>
      <c r="CA79" s="148"/>
      <c r="CB79" s="148"/>
      <c r="CC79" s="148"/>
      <c r="CD79" s="148"/>
      <c r="CE79" s="199"/>
      <c r="CF79" s="148"/>
      <c r="CG79" s="148"/>
      <c r="CH79" s="148"/>
      <c r="CI79" s="148"/>
      <c r="CJ79" s="141"/>
      <c r="CK79" s="148"/>
      <c r="CL79" s="148"/>
      <c r="CM79" s="148"/>
      <c r="CN79" s="148"/>
      <c r="CO79" s="141"/>
      <c r="CP79" s="148"/>
      <c r="CQ79" s="148"/>
      <c r="CR79" s="148"/>
      <c r="CS79" s="148"/>
      <c r="CT79" s="141"/>
      <c r="CU79" s="148"/>
      <c r="CV79" s="148"/>
      <c r="CW79" s="148"/>
      <c r="CX79" s="148"/>
      <c r="CY79" s="141"/>
      <c r="CZ79" s="142"/>
      <c r="DB79" s="735"/>
      <c r="DC79" s="735"/>
      <c r="DD79" s="821"/>
      <c r="DE79" s="728"/>
      <c r="DF79" s="721"/>
      <c r="DG79" s="735"/>
      <c r="DH79" s="735"/>
      <c r="DI79" s="730"/>
      <c r="DJ79" s="730"/>
      <c r="DK79" s="730"/>
      <c r="DL79" s="786"/>
      <c r="DM79" s="786"/>
      <c r="DN79" s="730"/>
      <c r="DU79" s="48"/>
      <c r="DV79" s="48"/>
      <c r="DW79" s="730"/>
      <c r="DX79" s="730"/>
      <c r="DY79" s="730"/>
      <c r="DZ79" s="730"/>
      <c r="EA79" s="730"/>
    </row>
    <row r="80" spans="1:143" hidden="1" outlineLevel="1" x14ac:dyDescent="0.2">
      <c r="A80" s="186" t="s">
        <v>96</v>
      </c>
      <c r="B80" s="186"/>
      <c r="C80" s="48"/>
      <c r="D80" s="62"/>
      <c r="E80" s="62"/>
      <c r="F80" s="62"/>
      <c r="G80" s="62"/>
      <c r="H80" s="178"/>
      <c r="I80" s="62"/>
      <c r="J80" s="62"/>
      <c r="K80" s="62"/>
      <c r="L80" s="62"/>
      <c r="M80" s="178"/>
      <c r="N80" s="62"/>
      <c r="O80" s="62">
        <f t="shared" ref="O80:AT80" si="105">-O202</f>
        <v>0</v>
      </c>
      <c r="P80" s="62">
        <f t="shared" si="105"/>
        <v>0</v>
      </c>
      <c r="Q80" s="62">
        <f t="shared" si="105"/>
        <v>0</v>
      </c>
      <c r="R80" s="178">
        <f t="shared" si="105"/>
        <v>0</v>
      </c>
      <c r="S80" s="62">
        <f t="shared" si="105"/>
        <v>0</v>
      </c>
      <c r="T80" s="62">
        <f t="shared" si="105"/>
        <v>82</v>
      </c>
      <c r="U80" s="62">
        <f t="shared" si="105"/>
        <v>18</v>
      </c>
      <c r="V80" s="62">
        <f t="shared" si="105"/>
        <v>0</v>
      </c>
      <c r="W80" s="178">
        <f t="shared" si="105"/>
        <v>100</v>
      </c>
      <c r="X80" s="62">
        <f t="shared" si="105"/>
        <v>500</v>
      </c>
      <c r="Y80" s="62">
        <f t="shared" si="105"/>
        <v>0</v>
      </c>
      <c r="Z80" s="62">
        <f t="shared" si="105"/>
        <v>0</v>
      </c>
      <c r="AA80" s="62">
        <f t="shared" si="105"/>
        <v>0</v>
      </c>
      <c r="AB80" s="178">
        <f t="shared" si="105"/>
        <v>500</v>
      </c>
      <c r="AC80" s="62">
        <f t="shared" si="105"/>
        <v>0</v>
      </c>
      <c r="AD80" s="62">
        <f t="shared" si="105"/>
        <v>0</v>
      </c>
      <c r="AE80" s="62">
        <f t="shared" si="105"/>
        <v>0</v>
      </c>
      <c r="AF80" s="62">
        <f t="shared" si="105"/>
        <v>0</v>
      </c>
      <c r="AG80" s="178">
        <f t="shared" si="105"/>
        <v>0</v>
      </c>
      <c r="AH80" s="62">
        <f t="shared" si="105"/>
        <v>0</v>
      </c>
      <c r="AI80" s="62">
        <f t="shared" si="105"/>
        <v>0</v>
      </c>
      <c r="AJ80" s="62">
        <f t="shared" si="105"/>
        <v>0</v>
      </c>
      <c r="AK80" s="62">
        <f ca="1">-AK202</f>
        <v>0</v>
      </c>
      <c r="AL80" s="178">
        <f t="shared" si="105"/>
        <v>0</v>
      </c>
      <c r="AM80" s="62">
        <f t="shared" si="105"/>
        <v>300</v>
      </c>
      <c r="AN80" s="62">
        <f t="shared" si="105"/>
        <v>0</v>
      </c>
      <c r="AO80" s="62">
        <f t="shared" si="105"/>
        <v>0</v>
      </c>
      <c r="AP80" s="62">
        <f t="shared" si="105"/>
        <v>0</v>
      </c>
      <c r="AQ80" s="178">
        <f t="shared" si="105"/>
        <v>300</v>
      </c>
      <c r="AR80" s="62">
        <f t="shared" si="105"/>
        <v>0</v>
      </c>
      <c r="AS80" s="62">
        <f t="shared" si="105"/>
        <v>187.5</v>
      </c>
      <c r="AT80" s="179">
        <f t="shared" si="105"/>
        <v>93.800000000000011</v>
      </c>
      <c r="AU80" s="179">
        <f t="shared" ref="AU80:BZ80" si="106">-AU202</f>
        <v>132.39999999999998</v>
      </c>
      <c r="AV80" s="178">
        <f t="shared" si="106"/>
        <v>413.7</v>
      </c>
      <c r="AW80" s="62">
        <f t="shared" si="106"/>
        <v>383</v>
      </c>
      <c r="AX80" s="62">
        <f t="shared" si="106"/>
        <v>0</v>
      </c>
      <c r="AY80" s="62">
        <f t="shared" si="106"/>
        <v>0</v>
      </c>
      <c r="AZ80" s="62">
        <f t="shared" si="106"/>
        <v>0</v>
      </c>
      <c r="BA80" s="178">
        <f t="shared" si="106"/>
        <v>383</v>
      </c>
      <c r="BB80" s="62">
        <f t="shared" si="106"/>
        <v>0</v>
      </c>
      <c r="BC80" s="62">
        <f t="shared" si="106"/>
        <v>0</v>
      </c>
      <c r="BD80" s="62">
        <f t="shared" si="106"/>
        <v>0</v>
      </c>
      <c r="BE80" s="62">
        <f t="shared" si="106"/>
        <v>0</v>
      </c>
      <c r="BF80" s="178">
        <f t="shared" si="106"/>
        <v>0</v>
      </c>
      <c r="BG80" s="62">
        <f ca="1">-BG202</f>
        <v>0</v>
      </c>
      <c r="BH80" s="62">
        <f ca="1">-BH202</f>
        <v>0</v>
      </c>
      <c r="BI80" s="62">
        <f ca="1">-BI202</f>
        <v>0</v>
      </c>
      <c r="BJ80" s="62">
        <f ca="1">-BJ202</f>
        <v>0</v>
      </c>
      <c r="BK80" s="178">
        <f t="shared" si="106"/>
        <v>0</v>
      </c>
      <c r="BL80" s="62">
        <f t="shared" si="106"/>
        <v>0</v>
      </c>
      <c r="BM80" s="62">
        <f t="shared" si="106"/>
        <v>0</v>
      </c>
      <c r="BN80" s="62">
        <f t="shared" si="106"/>
        <v>0</v>
      </c>
      <c r="BO80" s="62">
        <f t="shared" si="106"/>
        <v>34</v>
      </c>
      <c r="BP80" s="178">
        <f>-BP202</f>
        <v>34</v>
      </c>
      <c r="BQ80" s="62">
        <f t="shared" si="106"/>
        <v>1</v>
      </c>
      <c r="BR80" s="62">
        <f t="shared" si="106"/>
        <v>4.5</v>
      </c>
      <c r="BS80" s="62">
        <f t="shared" si="106"/>
        <v>367.1</v>
      </c>
      <c r="BT80" s="62">
        <f t="shared" si="106"/>
        <v>750.1</v>
      </c>
      <c r="BU80" s="178">
        <f t="shared" si="106"/>
        <v>1122.7</v>
      </c>
      <c r="BV80" s="62">
        <f t="shared" si="106"/>
        <v>0</v>
      </c>
      <c r="BW80" s="62">
        <f t="shared" si="106"/>
        <v>14.3</v>
      </c>
      <c r="BX80" s="62">
        <f t="shared" si="106"/>
        <v>224.89999999999998</v>
      </c>
      <c r="BY80" s="62">
        <f t="shared" si="106"/>
        <v>799.30000000000007</v>
      </c>
      <c r="BZ80" s="178">
        <f t="shared" si="106"/>
        <v>1038.5</v>
      </c>
      <c r="CA80" s="62">
        <f t="shared" ref="CA80:CY80" si="107">-CA202</f>
        <v>325</v>
      </c>
      <c r="CB80" s="62">
        <f t="shared" si="107"/>
        <v>325</v>
      </c>
      <c r="CC80" s="62">
        <f t="shared" si="107"/>
        <v>325</v>
      </c>
      <c r="CD80" s="62">
        <f t="shared" si="107"/>
        <v>325</v>
      </c>
      <c r="CE80" s="178">
        <f t="shared" si="107"/>
        <v>1300</v>
      </c>
      <c r="CF80" s="62">
        <f t="shared" si="107"/>
        <v>500</v>
      </c>
      <c r="CG80" s="62">
        <f t="shared" si="107"/>
        <v>500</v>
      </c>
      <c r="CH80" s="62">
        <f t="shared" si="107"/>
        <v>500</v>
      </c>
      <c r="CI80" s="62">
        <f t="shared" si="107"/>
        <v>500</v>
      </c>
      <c r="CJ80" s="178">
        <f t="shared" si="107"/>
        <v>2000</v>
      </c>
      <c r="CK80" s="62">
        <f t="shared" si="107"/>
        <v>500</v>
      </c>
      <c r="CL80" s="62">
        <f t="shared" si="107"/>
        <v>500</v>
      </c>
      <c r="CM80" s="62">
        <f t="shared" si="107"/>
        <v>500</v>
      </c>
      <c r="CN80" s="62">
        <f t="shared" si="107"/>
        <v>500</v>
      </c>
      <c r="CO80" s="178">
        <f t="shared" si="107"/>
        <v>2000</v>
      </c>
      <c r="CP80" s="62">
        <f t="shared" si="107"/>
        <v>500</v>
      </c>
      <c r="CQ80" s="62">
        <f t="shared" si="107"/>
        <v>500</v>
      </c>
      <c r="CR80" s="62">
        <f t="shared" si="107"/>
        <v>500</v>
      </c>
      <c r="CS80" s="62">
        <f t="shared" si="107"/>
        <v>500</v>
      </c>
      <c r="CT80" s="178">
        <f t="shared" si="107"/>
        <v>2000</v>
      </c>
      <c r="CU80" s="62">
        <f t="shared" si="107"/>
        <v>500</v>
      </c>
      <c r="CV80" s="62">
        <f t="shared" si="107"/>
        <v>500</v>
      </c>
      <c r="CW80" s="62">
        <f t="shared" si="107"/>
        <v>500</v>
      </c>
      <c r="CX80" s="62">
        <f t="shared" si="107"/>
        <v>500</v>
      </c>
      <c r="CY80" s="178">
        <f t="shared" si="107"/>
        <v>2000</v>
      </c>
      <c r="CZ80" s="179"/>
      <c r="DB80" s="735"/>
      <c r="DC80" s="735"/>
      <c r="DD80" s="802"/>
      <c r="DE80" s="722"/>
      <c r="DF80" s="721"/>
      <c r="DG80" s="735"/>
      <c r="DH80" s="735"/>
      <c r="DI80" s="730"/>
      <c r="DJ80" s="730"/>
      <c r="DK80" s="730"/>
      <c r="DL80" s="786"/>
      <c r="DM80" s="786"/>
      <c r="DN80" s="730"/>
      <c r="DU80" s="48"/>
      <c r="DV80" s="48"/>
      <c r="DW80" s="730"/>
      <c r="DX80" s="730"/>
      <c r="DY80" s="730"/>
      <c r="DZ80" s="730"/>
      <c r="EA80" s="730"/>
    </row>
    <row r="81" spans="1:131" hidden="1" outlineLevel="1" x14ac:dyDescent="0.2">
      <c r="A81" s="177" t="s">
        <v>97</v>
      </c>
      <c r="B81" s="177"/>
      <c r="C81" s="48"/>
      <c r="D81" s="62"/>
      <c r="E81" s="62"/>
      <c r="F81" s="62"/>
      <c r="G81" s="62"/>
      <c r="H81" s="178"/>
      <c r="I81" s="62"/>
      <c r="J81" s="62"/>
      <c r="K81" s="62"/>
      <c r="L81" s="62"/>
      <c r="M81" s="178"/>
      <c r="N81" s="62"/>
      <c r="O81" s="62">
        <f>+N84</f>
        <v>219.89904999999999</v>
      </c>
      <c r="P81" s="62">
        <f>+O84</f>
        <v>220.9365</v>
      </c>
      <c r="Q81" s="62">
        <f>+P84</f>
        <v>221.27846</v>
      </c>
      <c r="R81" s="178">
        <f>+M84</f>
        <v>0</v>
      </c>
      <c r="S81" s="62">
        <f>+R84</f>
        <v>223.03450000000001</v>
      </c>
      <c r="T81" s="62">
        <f>+S84</f>
        <v>223.76749000000001</v>
      </c>
      <c r="U81" s="62">
        <f>+T84</f>
        <v>223.07632000000001</v>
      </c>
      <c r="V81" s="62">
        <f>+U84</f>
        <v>233.67081999999999</v>
      </c>
      <c r="W81" s="178">
        <f>+R84</f>
        <v>223.03450000000001</v>
      </c>
      <c r="X81" s="62">
        <f>+W84</f>
        <v>234.86928</v>
      </c>
      <c r="Y81" s="62">
        <f>+X84</f>
        <v>215.33667</v>
      </c>
      <c r="Z81" s="62">
        <f>+Y84</f>
        <v>215.07335</v>
      </c>
      <c r="AA81" s="62">
        <f>+Z84</f>
        <v>215.59778</v>
      </c>
      <c r="AB81" s="178">
        <f>+W84</f>
        <v>234.86928</v>
      </c>
      <c r="AC81" s="62">
        <f>+AB84</f>
        <v>216.05301</v>
      </c>
      <c r="AD81" s="62">
        <f>+AC84</f>
        <v>217.62904</v>
      </c>
      <c r="AE81" s="62">
        <f>+AD84</f>
        <v>218.33849000000001</v>
      </c>
      <c r="AF81" s="62">
        <f>+AE84</f>
        <v>218.72559999999999</v>
      </c>
      <c r="AG81" s="178">
        <f>+AB84</f>
        <v>216.05301</v>
      </c>
      <c r="AH81" s="62">
        <f>+AG84</f>
        <v>219.14401000000001</v>
      </c>
      <c r="AI81" s="62">
        <f>+AH84</f>
        <v>220.80563000000001</v>
      </c>
      <c r="AJ81" s="62">
        <f>+AI84</f>
        <v>221.54889</v>
      </c>
      <c r="AK81" s="62">
        <f>+AJ84</f>
        <v>221.87594999999999</v>
      </c>
      <c r="AL81" s="178">
        <f>+AG84</f>
        <v>219.14401000000001</v>
      </c>
      <c r="AM81" s="62">
        <f>+AL84</f>
        <v>222.241838</v>
      </c>
      <c r="AN81" s="62">
        <f>AM84</f>
        <v>210.93731099999999</v>
      </c>
      <c r="AO81" s="62">
        <f>+AN84</f>
        <v>211.34764999999999</v>
      </c>
      <c r="AP81" s="62">
        <f>+AO84</f>
        <v>209.457987</v>
      </c>
      <c r="AQ81" s="178">
        <f>+AL84</f>
        <v>222.241838</v>
      </c>
      <c r="AR81" s="62">
        <f>+AQ84</f>
        <v>211.16292499999997</v>
      </c>
      <c r="AS81" s="62">
        <f>+AR84</f>
        <v>214.26252100000002</v>
      </c>
      <c r="AT81" s="179">
        <f>+AS84</f>
        <v>204.86087499999999</v>
      </c>
      <c r="AU81" s="179">
        <f>+AT84</f>
        <v>199.78728099999998</v>
      </c>
      <c r="AV81" s="178">
        <f>+AQ84</f>
        <v>211.16292499999997</v>
      </c>
      <c r="AW81" s="62">
        <f>+AV84</f>
        <v>194.326021</v>
      </c>
      <c r="AX81" s="62">
        <f>+AW84</f>
        <v>176.999762</v>
      </c>
      <c r="AY81" s="62">
        <f>+AX84</f>
        <v>182.31317200000001</v>
      </c>
      <c r="AZ81" s="62">
        <f>+AY84</f>
        <v>183.56774500000003</v>
      </c>
      <c r="BA81" s="178">
        <f>+AV84</f>
        <v>194.326021</v>
      </c>
      <c r="BB81" s="62">
        <f>+BA84</f>
        <v>184.78800000000001</v>
      </c>
      <c r="BC81" s="62">
        <f>+BB84</f>
        <v>188.45896999999999</v>
      </c>
      <c r="BD81" s="62">
        <f>+BC84</f>
        <v>188.70043400000003</v>
      </c>
      <c r="BE81" s="62">
        <f>+BD84</f>
        <v>190.01584700000001</v>
      </c>
      <c r="BF81" s="178">
        <f>+BA84</f>
        <v>184.78800000000001</v>
      </c>
      <c r="BG81" s="62">
        <f>+BF84</f>
        <v>191.470134</v>
      </c>
      <c r="BH81" s="62">
        <f>+BG84</f>
        <v>192.42208199999996</v>
      </c>
      <c r="BI81" s="62">
        <f>+BH84</f>
        <v>192.847353</v>
      </c>
      <c r="BJ81" s="62">
        <f>+BI84</f>
        <v>193.47296799999998</v>
      </c>
      <c r="BK81" s="178">
        <f>+BF84</f>
        <v>191.470134</v>
      </c>
      <c r="BL81" s="62">
        <f>+BK84</f>
        <v>194.54130800000001</v>
      </c>
      <c r="BM81" s="62">
        <f>+BL84</f>
        <v>195.273157</v>
      </c>
      <c r="BN81" s="62">
        <f>+BM84</f>
        <v>196.19006199999998</v>
      </c>
      <c r="BO81" s="62">
        <f>+BN84</f>
        <v>199.22467200000003</v>
      </c>
      <c r="BP81" s="178">
        <f>+BK84</f>
        <v>194.54130800000001</v>
      </c>
      <c r="BQ81" s="62">
        <f>+BP84</f>
        <v>199.45674400000004</v>
      </c>
      <c r="BR81" s="62">
        <f>+BQ84</f>
        <v>200.501385</v>
      </c>
      <c r="BS81" s="62">
        <f>+BR84</f>
        <v>201.161554</v>
      </c>
      <c r="BT81" s="62">
        <f>+BS84</f>
        <v>199.027919</v>
      </c>
      <c r="BU81" s="178">
        <f>+BP84</f>
        <v>199.45674400000004</v>
      </c>
      <c r="BV81" s="62">
        <f>+BU84</f>
        <v>194.800645</v>
      </c>
      <c r="BW81" s="62">
        <f>+BV84</f>
        <v>195.309943</v>
      </c>
      <c r="BX81" s="62">
        <f>+BW84</f>
        <v>195.57654900000003</v>
      </c>
      <c r="BY81" s="62">
        <f>+BX84</f>
        <v>194.711432</v>
      </c>
      <c r="BZ81" s="178">
        <f>+BU84</f>
        <v>194.800645</v>
      </c>
      <c r="CA81" s="62">
        <f>+BZ84</f>
        <v>191.74491823853211</v>
      </c>
      <c r="CB81" s="62">
        <f>+CA84</f>
        <v>190.82877764204088</v>
      </c>
      <c r="CC81" s="62">
        <f>+CB84</f>
        <v>189.77085400562493</v>
      </c>
      <c r="CD81" s="62">
        <f>+CC84</f>
        <v>188.61689992710586</v>
      </c>
      <c r="CE81" s="178">
        <f>+BZ84</f>
        <v>191.74491823853211</v>
      </c>
      <c r="CF81" s="62">
        <f>+CE84</f>
        <v>187.97367730110676</v>
      </c>
      <c r="CG81" s="62">
        <f>+CF84</f>
        <v>186.45699848964512</v>
      </c>
      <c r="CH81" s="62">
        <f>+CG84</f>
        <v>184.81031189737581</v>
      </c>
      <c r="CI81" s="62">
        <f>+CH84</f>
        <v>183.07913923468678</v>
      </c>
      <c r="CJ81" s="178">
        <f>+CE84</f>
        <v>187.97367730110676</v>
      </c>
      <c r="CK81" s="62">
        <f>+CJ84</f>
        <v>181.87001603597204</v>
      </c>
      <c r="CL81" s="62">
        <f>+CK84</f>
        <v>180.5076246254674</v>
      </c>
      <c r="CM81" s="62">
        <f>+CL84</f>
        <v>179.0122001909991</v>
      </c>
      <c r="CN81" s="62">
        <f>+CM84</f>
        <v>177.4293237614483</v>
      </c>
      <c r="CO81" s="178">
        <f>+CJ84</f>
        <v>181.87001603597204</v>
      </c>
      <c r="CP81" s="62">
        <f>+CO84</f>
        <v>176.36558902659459</v>
      </c>
      <c r="CQ81" s="62">
        <f>+CP84</f>
        <v>175.14573532575764</v>
      </c>
      <c r="CR81" s="62">
        <f>+CQ84</f>
        <v>173.79005374390471</v>
      </c>
      <c r="CS81" s="62">
        <f>+CR84</f>
        <v>172.34418011103563</v>
      </c>
      <c r="CT81" s="178">
        <f>+CO84</f>
        <v>176.36558902659459</v>
      </c>
      <c r="CU81" s="62">
        <f>+CT84</f>
        <v>171.41476184351694</v>
      </c>
      <c r="CV81" s="62">
        <f>+CU84</f>
        <v>170.32659095379273</v>
      </c>
      <c r="CW81" s="62">
        <f>+CV84</f>
        <v>169.10001016714838</v>
      </c>
      <c r="CX81" s="62">
        <f>+CW84</f>
        <v>167.78070594134655</v>
      </c>
      <c r="CY81" s="178">
        <f>+CT84</f>
        <v>171.41476184351694</v>
      </c>
      <c r="CZ81" s="179"/>
      <c r="DB81" s="735"/>
      <c r="DC81" s="735"/>
      <c r="DD81" s="802"/>
      <c r="DF81" s="721"/>
      <c r="DG81" s="735"/>
      <c r="DH81" s="735"/>
      <c r="DI81" s="730"/>
      <c r="DJ81" s="730"/>
      <c r="DK81" s="730"/>
      <c r="DL81" s="786"/>
      <c r="DM81" s="786"/>
      <c r="DN81" s="730"/>
      <c r="DU81" s="48"/>
      <c r="DV81" s="48"/>
      <c r="DW81" s="730"/>
      <c r="DX81" s="730"/>
      <c r="DY81" s="730"/>
      <c r="DZ81" s="730"/>
      <c r="EA81" s="730"/>
    </row>
    <row r="82" spans="1:131" hidden="1" outlineLevel="1" x14ac:dyDescent="0.2">
      <c r="A82" s="423" t="s">
        <v>98</v>
      </c>
      <c r="B82" s="423"/>
      <c r="C82" s="424"/>
      <c r="D82" s="62"/>
      <c r="E82" s="62"/>
      <c r="F82" s="62"/>
      <c r="G82" s="62"/>
      <c r="H82" s="178"/>
      <c r="I82" s="62"/>
      <c r="J82" s="62"/>
      <c r="K82" s="62"/>
      <c r="L82" s="62"/>
      <c r="M82" s="178"/>
      <c r="N82" s="62"/>
      <c r="O82" s="62">
        <f t="shared" ref="O82:AK82" si="108">+O84+O83-O81</f>
        <v>1.0374500000000069</v>
      </c>
      <c r="P82" s="62">
        <f t="shared" si="108"/>
        <v>0.34196000000000026</v>
      </c>
      <c r="Q82" s="62">
        <f t="shared" si="108"/>
        <v>1.7560400000000129</v>
      </c>
      <c r="R82" s="178">
        <f t="shared" si="108"/>
        <v>223.03450000000001</v>
      </c>
      <c r="S82" s="62">
        <f t="shared" si="108"/>
        <v>0.73299000000000092</v>
      </c>
      <c r="T82" s="62">
        <f t="shared" si="108"/>
        <v>2.5518480000000068</v>
      </c>
      <c r="U82" s="62">
        <f t="shared" si="108"/>
        <v>11.246459999999985</v>
      </c>
      <c r="V82" s="62">
        <f t="shared" si="108"/>
        <v>1.1984600000000114</v>
      </c>
      <c r="W82" s="178">
        <f t="shared" si="108"/>
        <v>15.729758000000004</v>
      </c>
      <c r="X82" s="62">
        <f t="shared" si="108"/>
        <v>1.7998580000000004</v>
      </c>
      <c r="Y82" s="62">
        <f t="shared" si="108"/>
        <v>-0.26331999999999312</v>
      </c>
      <c r="Z82" s="62">
        <f t="shared" si="108"/>
        <v>0.52442999999999529</v>
      </c>
      <c r="AA82" s="62">
        <f t="shared" si="108"/>
        <v>0.45523000000000025</v>
      </c>
      <c r="AB82" s="178">
        <f t="shared" si="108"/>
        <v>2.5161980000000028</v>
      </c>
      <c r="AC82" s="62">
        <f t="shared" si="108"/>
        <v>1.5760300000000029</v>
      </c>
      <c r="AD82" s="62">
        <f t="shared" si="108"/>
        <v>0.70945000000000391</v>
      </c>
      <c r="AE82" s="62">
        <f t="shared" si="108"/>
        <v>0.38710999999997853</v>
      </c>
      <c r="AF82" s="62">
        <f t="shared" si="108"/>
        <v>0.41841000000002282</v>
      </c>
      <c r="AG82" s="178">
        <f t="shared" si="108"/>
        <v>3.0910000000000082</v>
      </c>
      <c r="AH82" s="62">
        <f t="shared" si="108"/>
        <v>1.6616199999999992</v>
      </c>
      <c r="AI82" s="62">
        <f t="shared" si="108"/>
        <v>0.74325999999999226</v>
      </c>
      <c r="AJ82" s="62">
        <f t="shared" si="108"/>
        <v>0.3270599999999888</v>
      </c>
      <c r="AK82" s="62">
        <f t="shared" si="108"/>
        <v>0.36588800000001243</v>
      </c>
      <c r="AL82" s="178">
        <f>+AH82+AI82+AJ82+AK82</f>
        <v>3.0978279999999927</v>
      </c>
      <c r="AM82" s="146">
        <f>+AM84+AM83-AM81</f>
        <v>2.495473000000004</v>
      </c>
      <c r="AN82" s="146">
        <f>+AN84+AN83-AN81</f>
        <v>0.41033899999999335</v>
      </c>
      <c r="AO82" s="62">
        <f>+AO84+AO83-AO81</f>
        <v>1.5103370000000211</v>
      </c>
      <c r="AP82" s="62">
        <f>+AP84+AP83-AP81</f>
        <v>1.7049379999999701</v>
      </c>
      <c r="AQ82" s="178">
        <f>+AM82+AN82+AO82+AP82</f>
        <v>6.1210869999999886</v>
      </c>
      <c r="AR82" s="62">
        <f>+AR84+AR83-AR81</f>
        <v>3.099596000000048</v>
      </c>
      <c r="AS82" s="62">
        <f>+AS84+AS83-AS81</f>
        <v>0.39835399999998344</v>
      </c>
      <c r="AT82" s="62">
        <f>+AT84+AT83-AT81</f>
        <v>0.12740599999997926</v>
      </c>
      <c r="AU82" s="179">
        <f>+AU84+AU83-AU81</f>
        <v>0.73774000000000228</v>
      </c>
      <c r="AV82" s="178">
        <f>+AR82+AS82+AT82+AU82</f>
        <v>4.363096000000013</v>
      </c>
      <c r="AW82" s="179">
        <f>+AW84+AW83-AW81</f>
        <v>0.66820699999999533</v>
      </c>
      <c r="AX82" s="179">
        <f>+AX84+AX83-AX81</f>
        <v>5.3134100000000046</v>
      </c>
      <c r="AY82" s="179">
        <f>+AY84+AY83-AY81</f>
        <v>1.2545730000000219</v>
      </c>
      <c r="AZ82" s="179">
        <f>+AZ84+AZ83-AZ81</f>
        <v>1.2202549999999803</v>
      </c>
      <c r="BA82" s="178">
        <f>+AW82+AX82+AY82+AZ82</f>
        <v>8.4564450000000022</v>
      </c>
      <c r="BB82" s="179">
        <f>+BB84+BB83-BB81</f>
        <v>3.6709699999999827</v>
      </c>
      <c r="BC82" s="179">
        <f>+BC84+BC83-BC81</f>
        <v>0.24146400000003609</v>
      </c>
      <c r="BD82" s="179">
        <f>+BD84+BD83-BD81</f>
        <v>1.3154129999999782</v>
      </c>
      <c r="BE82" s="179">
        <f>+BE84+BE83-BE81</f>
        <v>1.4542869999999937</v>
      </c>
      <c r="BF82" s="178">
        <f>+BB82+BC82+BD82+BE82</f>
        <v>6.6821339999999907</v>
      </c>
      <c r="BG82" s="179">
        <f>+BG84+BG83-BG81</f>
        <v>0.95194799999995894</v>
      </c>
      <c r="BH82" s="179">
        <f>+BH84+BH83-BH81</f>
        <v>0.4252710000000377</v>
      </c>
      <c r="BI82" s="179">
        <f>+BI84+BI83-BI81</f>
        <v>0.62561499999998205</v>
      </c>
      <c r="BJ82" s="179">
        <f>+BJ84+BJ83-BJ81</f>
        <v>1.0683400000000347</v>
      </c>
      <c r="BK82" s="178">
        <f>+BG82+BH82+BI82+BJ82</f>
        <v>3.0711740000000134</v>
      </c>
      <c r="BL82" s="179">
        <f>+BL84+BL83-BL81</f>
        <v>0.73184899999998265</v>
      </c>
      <c r="BM82" s="179">
        <f>+BM84+BM83-BM81</f>
        <v>0.91690499999998565</v>
      </c>
      <c r="BN82" s="179">
        <f>+BN84+BN83-BN81</f>
        <v>3.0346100000000433</v>
      </c>
      <c r="BO82" s="179">
        <f>+BO84+BO83-BO81</f>
        <v>0.47844881159420538</v>
      </c>
      <c r="BP82" s="178">
        <f>+BL82+BM82+BN82+BO82</f>
        <v>5.161812811594217</v>
      </c>
      <c r="BQ82" s="179">
        <f>+BQ84+BQ83-BQ81</f>
        <v>1.0518440540948859</v>
      </c>
      <c r="BR82" s="179">
        <f>+BR84+BR83-BR81</f>
        <v>0.68829399999998486</v>
      </c>
      <c r="BS82" s="179">
        <f>+BS84+BS83-BS81</f>
        <v>0.26636500000000751</v>
      </c>
      <c r="BT82" s="179">
        <f>+BT84+BT83-BT81</f>
        <v>0.76758399999999938</v>
      </c>
      <c r="BU82" s="178">
        <f>+BQ82+BR82+BS82+BT82</f>
        <v>2.7740870540948777</v>
      </c>
      <c r="BV82" s="179">
        <f>+BV84+BV83-BV81</f>
        <v>0.50929800000000114</v>
      </c>
      <c r="BW82" s="179">
        <f>+BW84+BW83-BW81</f>
        <v>0.33956518367349986</v>
      </c>
      <c r="BX82" s="179">
        <f>+BX84+BX83-BX81</f>
        <v>0.21613299999998503</v>
      </c>
      <c r="BY82" s="179">
        <v>0.7</v>
      </c>
      <c r="BZ82" s="178">
        <f>+BV82+BW82+BX82+BY82</f>
        <v>1.764996183673486</v>
      </c>
      <c r="CA82" s="198">
        <f>+BV82</f>
        <v>0.50929800000000114</v>
      </c>
      <c r="CB82" s="198">
        <f>+BW82</f>
        <v>0.33956518367349986</v>
      </c>
      <c r="CC82" s="198">
        <f>+BX82</f>
        <v>0.21613299999998503</v>
      </c>
      <c r="CD82" s="198">
        <f>+BY82</f>
        <v>0.7</v>
      </c>
      <c r="CE82" s="178">
        <f>+CA82+CB82+CC82+CD82</f>
        <v>1.764996183673486</v>
      </c>
      <c r="CF82" s="198">
        <f>+CA82</f>
        <v>0.50929800000000114</v>
      </c>
      <c r="CG82" s="198">
        <f>+CB82</f>
        <v>0.33956518367349986</v>
      </c>
      <c r="CH82" s="198">
        <f>+CC82</f>
        <v>0.21613299999998503</v>
      </c>
      <c r="CI82" s="198">
        <f>+CD82</f>
        <v>0.7</v>
      </c>
      <c r="CJ82" s="178">
        <f>+CF82+CG82+CH82+CI82</f>
        <v>1.764996183673486</v>
      </c>
      <c r="CK82" s="198">
        <f>+CF82</f>
        <v>0.50929800000000114</v>
      </c>
      <c r="CL82" s="198">
        <f>+CG82</f>
        <v>0.33956518367349986</v>
      </c>
      <c r="CM82" s="198">
        <f>+CH82</f>
        <v>0.21613299999998503</v>
      </c>
      <c r="CN82" s="198">
        <f>+CI82</f>
        <v>0.7</v>
      </c>
      <c r="CO82" s="178">
        <f>+CK82+CL82+CM82+CN82</f>
        <v>1.764996183673486</v>
      </c>
      <c r="CP82" s="198">
        <f>+CK82</f>
        <v>0.50929800000000114</v>
      </c>
      <c r="CQ82" s="198">
        <f>+CL82</f>
        <v>0.33956518367349986</v>
      </c>
      <c r="CR82" s="198">
        <f>+CM82</f>
        <v>0.21613299999998503</v>
      </c>
      <c r="CS82" s="198">
        <f>+CN82</f>
        <v>0.7</v>
      </c>
      <c r="CT82" s="178">
        <f>+CP82+CQ82+CR82+CS82</f>
        <v>1.764996183673486</v>
      </c>
      <c r="CU82" s="198">
        <f>+CP82</f>
        <v>0.50929800000000114</v>
      </c>
      <c r="CV82" s="198">
        <f>+CQ82</f>
        <v>0.33956518367349986</v>
      </c>
      <c r="CW82" s="198">
        <f>+CR82</f>
        <v>0.21613299999998503</v>
      </c>
      <c r="CX82" s="198">
        <f>+CS82</f>
        <v>0.7</v>
      </c>
      <c r="CY82" s="178">
        <f>+CU82+CV82+CW82+CX82</f>
        <v>1.764996183673486</v>
      </c>
      <c r="CZ82" s="179"/>
      <c r="DB82" s="735"/>
      <c r="DC82" s="735"/>
      <c r="DD82" s="802"/>
      <c r="DF82" s="721"/>
      <c r="DG82" s="735"/>
      <c r="DH82" s="735"/>
      <c r="DI82" s="730"/>
      <c r="DJ82" s="730"/>
      <c r="DK82" s="730"/>
      <c r="DL82" s="786"/>
      <c r="DM82" s="786"/>
      <c r="DN82" s="730"/>
      <c r="DU82" s="48"/>
      <c r="DV82" s="48"/>
      <c r="DW82" s="730"/>
      <c r="DX82" s="730"/>
      <c r="DY82" s="730"/>
      <c r="DZ82" s="730"/>
      <c r="EA82" s="730"/>
    </row>
    <row r="83" spans="1:131" hidden="1" outlineLevel="1" x14ac:dyDescent="0.2">
      <c r="A83" s="177" t="s">
        <v>99</v>
      </c>
      <c r="B83" s="177"/>
      <c r="C83" s="48"/>
      <c r="D83" s="62"/>
      <c r="E83" s="62"/>
      <c r="F83" s="62"/>
      <c r="G83" s="62"/>
      <c r="H83" s="178"/>
      <c r="I83" s="62"/>
      <c r="J83" s="62"/>
      <c r="K83" s="62"/>
      <c r="L83" s="62"/>
      <c r="M83" s="178"/>
      <c r="N83" s="62"/>
      <c r="O83" s="62">
        <f t="shared" ref="O83:AK83" si="109">+O200</f>
        <v>0</v>
      </c>
      <c r="P83" s="62">
        <f t="shared" si="109"/>
        <v>0</v>
      </c>
      <c r="Q83" s="62">
        <f t="shared" si="109"/>
        <v>0</v>
      </c>
      <c r="R83" s="178">
        <f t="shared" si="109"/>
        <v>0</v>
      </c>
      <c r="S83" s="62">
        <f t="shared" si="109"/>
        <v>0</v>
      </c>
      <c r="T83" s="62">
        <f t="shared" si="109"/>
        <v>3.2430180000000002</v>
      </c>
      <c r="U83" s="62">
        <f t="shared" si="109"/>
        <v>0.65195999999999998</v>
      </c>
      <c r="V83" s="62">
        <f t="shared" si="109"/>
        <v>0</v>
      </c>
      <c r="W83" s="178">
        <f t="shared" si="109"/>
        <v>3.8949780000000001</v>
      </c>
      <c r="X83" s="62">
        <f t="shared" si="109"/>
        <v>21.332467999999999</v>
      </c>
      <c r="Y83" s="62">
        <f t="shared" si="109"/>
        <v>0</v>
      </c>
      <c r="Z83" s="62">
        <f t="shared" si="109"/>
        <v>0</v>
      </c>
      <c r="AA83" s="62">
        <f t="shared" si="109"/>
        <v>0</v>
      </c>
      <c r="AB83" s="178">
        <f t="shared" si="109"/>
        <v>21.332467999999999</v>
      </c>
      <c r="AC83" s="62">
        <f t="shared" si="109"/>
        <v>0</v>
      </c>
      <c r="AD83" s="62">
        <f t="shared" si="109"/>
        <v>0</v>
      </c>
      <c r="AE83" s="62">
        <f t="shared" si="109"/>
        <v>0</v>
      </c>
      <c r="AF83" s="62">
        <f t="shared" si="109"/>
        <v>0</v>
      </c>
      <c r="AG83" s="178">
        <f t="shared" si="109"/>
        <v>0</v>
      </c>
      <c r="AH83" s="62">
        <f t="shared" si="109"/>
        <v>0</v>
      </c>
      <c r="AI83" s="62">
        <f t="shared" si="109"/>
        <v>0</v>
      </c>
      <c r="AJ83" s="62">
        <f t="shared" si="109"/>
        <v>0</v>
      </c>
      <c r="AK83" s="62">
        <f t="shared" si="109"/>
        <v>0</v>
      </c>
      <c r="AL83" s="178">
        <f>+AH83+AI83+AJ83+AK83</f>
        <v>0</v>
      </c>
      <c r="AM83" s="146">
        <f>+AM200</f>
        <v>13.8</v>
      </c>
      <c r="AN83" s="62">
        <f>+AN200</f>
        <v>0</v>
      </c>
      <c r="AO83" s="62">
        <f>+AO200</f>
        <v>3.3999999999999986</v>
      </c>
      <c r="AP83" s="62">
        <f>+AP200</f>
        <v>0</v>
      </c>
      <c r="AQ83" s="178">
        <f>+AM83+AN83+AO83+AP83</f>
        <v>17.2</v>
      </c>
      <c r="AR83" s="62">
        <f>+AR200</f>
        <v>0</v>
      </c>
      <c r="AS83" s="62">
        <f>+AS200</f>
        <v>9.8000000000000007</v>
      </c>
      <c r="AT83" s="62">
        <f>+AT200</f>
        <v>5.2009999999999996</v>
      </c>
      <c r="AU83" s="179">
        <f>+AU200</f>
        <v>6.1989999999999981</v>
      </c>
      <c r="AV83" s="178">
        <f>+AR83+AS83+AT83+AU83</f>
        <v>21.2</v>
      </c>
      <c r="AW83" s="179">
        <f>+AW200</f>
        <v>17.994465999999999</v>
      </c>
      <c r="AX83" s="179">
        <f>+AX200</f>
        <v>0</v>
      </c>
      <c r="AY83" s="179">
        <f>+AY200</f>
        <v>0</v>
      </c>
      <c r="AZ83" s="179">
        <f>+AZ200</f>
        <v>0</v>
      </c>
      <c r="BA83" s="178">
        <f>+AW83+AX83+AY83+AZ83</f>
        <v>17.994465999999999</v>
      </c>
      <c r="BB83" s="62">
        <f>+BB200</f>
        <v>0</v>
      </c>
      <c r="BC83" s="62">
        <f>+BC200</f>
        <v>0</v>
      </c>
      <c r="BD83" s="62">
        <f>+BD200</f>
        <v>0</v>
      </c>
      <c r="BE83" s="62">
        <f>+BE200</f>
        <v>0</v>
      </c>
      <c r="BF83" s="178">
        <f>+BB83+BC83+BD83+BE83</f>
        <v>0</v>
      </c>
      <c r="BG83" s="62">
        <f>+BG200</f>
        <v>0</v>
      </c>
      <c r="BH83" s="62">
        <f>+BH200</f>
        <v>0</v>
      </c>
      <c r="BI83" s="62">
        <f>+BI200</f>
        <v>0</v>
      </c>
      <c r="BJ83" s="62">
        <f>+BJ200</f>
        <v>0</v>
      </c>
      <c r="BK83" s="178">
        <f>+BG83+BH83+BI83+BJ83</f>
        <v>0</v>
      </c>
      <c r="BL83" s="62">
        <f>+BL200</f>
        <v>0</v>
      </c>
      <c r="BM83" s="62">
        <f>+BM200</f>
        <v>0</v>
      </c>
      <c r="BN83" s="62">
        <f>+BN200</f>
        <v>0</v>
      </c>
      <c r="BO83" s="62">
        <f>+BO200</f>
        <v>0.24637681159420291</v>
      </c>
      <c r="BP83" s="178">
        <f>+BL83+BM83+BN83+BO83</f>
        <v>0.24637681159420291</v>
      </c>
      <c r="BQ83" s="62">
        <f>+BQ200</f>
        <v>7.203054094936252E-3</v>
      </c>
      <c r="BR83" s="62">
        <f>+BR200</f>
        <v>2.8125000000000001E-2</v>
      </c>
      <c r="BS83" s="62">
        <f>+BS200</f>
        <v>2.4</v>
      </c>
      <c r="BT83" s="62">
        <f>+BT200</f>
        <v>4.9948579999999998</v>
      </c>
      <c r="BU83" s="178">
        <f>+BQ83+BR83+BS83+BT83</f>
        <v>7.4301860540949356</v>
      </c>
      <c r="BV83" s="146">
        <f>+BV200</f>
        <v>0</v>
      </c>
      <c r="BW83" s="146">
        <f>+BW200</f>
        <v>7.2959183673469388E-2</v>
      </c>
      <c r="BX83" s="146">
        <f>+BX200</f>
        <v>1.0812499999999998</v>
      </c>
      <c r="BY83" s="146">
        <f>+BY200</f>
        <v>3.6665137614678902</v>
      </c>
      <c r="BZ83" s="178">
        <f>+BV83+BW83+BX83+BY83</f>
        <v>4.8207229451413589</v>
      </c>
      <c r="CA83" s="62">
        <f>+CA200</f>
        <v>1.4254385964912282</v>
      </c>
      <c r="CB83" s="62">
        <f>+CB200</f>
        <v>1.3974888200894393</v>
      </c>
      <c r="CC83" s="62">
        <f>+CC200</f>
        <v>1.370087078519058</v>
      </c>
      <c r="CD83" s="62">
        <f>+CD200</f>
        <v>1.3432226259990765</v>
      </c>
      <c r="CE83" s="178">
        <f>+CA83+CB83+CC83+CD83</f>
        <v>5.5362371210988019</v>
      </c>
      <c r="CF83" s="62">
        <f>+CF200</f>
        <v>2.0259768114616539</v>
      </c>
      <c r="CG83" s="62">
        <f>+CG200</f>
        <v>1.986251775942798</v>
      </c>
      <c r="CH83" s="62">
        <f>+CH200</f>
        <v>1.9473056626890175</v>
      </c>
      <c r="CI83" s="62">
        <f>+CI200</f>
        <v>1.909123198714723</v>
      </c>
      <c r="CJ83" s="178">
        <f>+CF83+CG83+CH83+CI83</f>
        <v>7.8686574488081922</v>
      </c>
      <c r="CK83" s="62">
        <f>+CK200</f>
        <v>1.8716894105046302</v>
      </c>
      <c r="CL83" s="62">
        <f>+CL200</f>
        <v>1.8349896181417944</v>
      </c>
      <c r="CM83" s="62">
        <f>+CM200</f>
        <v>1.7990094295507788</v>
      </c>
      <c r="CN83" s="62">
        <f>+CN200</f>
        <v>1.7637347348537047</v>
      </c>
      <c r="CO83" s="178">
        <f>+CK83+CL83+CM83+CN83</f>
        <v>7.2694231930509083</v>
      </c>
      <c r="CP83" s="62">
        <f>+CP200</f>
        <v>1.7291517008369652</v>
      </c>
      <c r="CQ83" s="62">
        <f>+CQ200</f>
        <v>1.6952467655264365</v>
      </c>
      <c r="CR83" s="62">
        <f>+CR200</f>
        <v>1.6620066328690555</v>
      </c>
      <c r="CS83" s="62">
        <f>+CS200</f>
        <v>1.6294182675186819</v>
      </c>
      <c r="CT83" s="178">
        <f>+CP83+CQ83+CR83+CS83</f>
        <v>6.7158233667511391</v>
      </c>
      <c r="CU83" s="62">
        <f>+CU200</f>
        <v>1.597468889724198</v>
      </c>
      <c r="CV83" s="62">
        <f>+CV200</f>
        <v>1.5661459703178411</v>
      </c>
      <c r="CW83" s="62">
        <f>+CW200</f>
        <v>1.535437225801805</v>
      </c>
      <c r="CX83" s="62">
        <f>+CX200</f>
        <v>1.5053306135311812</v>
      </c>
      <c r="CY83" s="178">
        <f>+CU83+CV83+CW83+CX83</f>
        <v>6.2043826993750253</v>
      </c>
      <c r="CZ83" s="179"/>
      <c r="DB83" s="735"/>
      <c r="DC83" s="735"/>
      <c r="DD83" s="802"/>
      <c r="DF83" s="721"/>
      <c r="DG83" s="735"/>
      <c r="DH83" s="735"/>
      <c r="DI83" s="730"/>
      <c r="DJ83" s="730"/>
      <c r="DK83" s="730"/>
      <c r="DL83" s="786"/>
      <c r="DM83" s="786"/>
      <c r="DN83" s="730"/>
      <c r="DU83" s="48"/>
      <c r="DV83" s="48"/>
      <c r="DW83" s="730"/>
      <c r="DX83" s="730"/>
      <c r="DY83" s="730"/>
      <c r="DZ83" s="730"/>
      <c r="EA83" s="730"/>
    </row>
    <row r="84" spans="1:131" hidden="1" outlineLevel="1" x14ac:dyDescent="0.2">
      <c r="A84" s="177" t="s">
        <v>100</v>
      </c>
      <c r="B84" s="177"/>
      <c r="C84" s="48"/>
      <c r="D84" s="62"/>
      <c r="E84" s="62"/>
      <c r="F84" s="62"/>
      <c r="G84" s="62"/>
      <c r="H84" s="178"/>
      <c r="I84" s="62"/>
      <c r="J84" s="62"/>
      <c r="K84" s="62"/>
      <c r="L84" s="62"/>
      <c r="M84" s="178"/>
      <c r="N84" s="62">
        <v>219.89904999999999</v>
      </c>
      <c r="O84" s="62">
        <v>220.9365</v>
      </c>
      <c r="P84" s="62">
        <v>221.27846</v>
      </c>
      <c r="Q84" s="62">
        <v>223.03450000000001</v>
      </c>
      <c r="R84" s="178">
        <f>+Q84</f>
        <v>223.03450000000001</v>
      </c>
      <c r="S84" s="62">
        <v>223.76749000000001</v>
      </c>
      <c r="T84" s="62">
        <v>223.07632000000001</v>
      </c>
      <c r="U84" s="62">
        <v>233.67081999999999</v>
      </c>
      <c r="V84" s="62">
        <v>234.86928</v>
      </c>
      <c r="W84" s="178">
        <f>+V84</f>
        <v>234.86928</v>
      </c>
      <c r="X84" s="62">
        <v>215.33667</v>
      </c>
      <c r="Y84" s="62">
        <v>215.07335</v>
      </c>
      <c r="Z84" s="62">
        <v>215.59778</v>
      </c>
      <c r="AA84" s="62">
        <v>216.05301</v>
      </c>
      <c r="AB84" s="178">
        <f>+AA84</f>
        <v>216.05301</v>
      </c>
      <c r="AC84" s="62">
        <v>217.62904</v>
      </c>
      <c r="AD84" s="62">
        <v>218.33849000000001</v>
      </c>
      <c r="AE84" s="62">
        <v>218.72559999999999</v>
      </c>
      <c r="AF84" s="62">
        <v>219.14401000000001</v>
      </c>
      <c r="AG84" s="178">
        <f>+AF84</f>
        <v>219.14401000000001</v>
      </c>
      <c r="AH84" s="62">
        <v>220.80563000000001</v>
      </c>
      <c r="AI84" s="62">
        <v>221.54889</v>
      </c>
      <c r="AJ84" s="62">
        <v>221.87594999999999</v>
      </c>
      <c r="AK84" s="62">
        <f>225.062547+28.734637-26.549546-5.0058</f>
        <v>222.241838</v>
      </c>
      <c r="AL84" s="178">
        <f>+AK84</f>
        <v>222.241838</v>
      </c>
      <c r="AM84" s="62">
        <f>187.224978+23.712333</f>
        <v>210.93731099999999</v>
      </c>
      <c r="AN84" s="62">
        <f>187.659675+23.687975</f>
        <v>211.34764999999999</v>
      </c>
      <c r="AO84" s="62">
        <f>185.832829+23.625158</f>
        <v>209.457987</v>
      </c>
      <c r="AP84" s="62">
        <f>230.290798+28.617758-42.739831-5.0058</f>
        <v>211.16292499999997</v>
      </c>
      <c r="AQ84" s="178">
        <f>+AP84</f>
        <v>211.16292499999997</v>
      </c>
      <c r="AR84" s="62">
        <f>232.676024+28.605058-42.012761-5.0058</f>
        <v>214.26252100000002</v>
      </c>
      <c r="AS84" s="62">
        <f>232.894647+28.597102-51.625074-5.0058</f>
        <v>204.86087499999999</v>
      </c>
      <c r="AT84" s="179">
        <f>233.163859+28.583916-56.954694-5.0058</f>
        <v>199.78728099999998</v>
      </c>
      <c r="AU84" s="179">
        <f>233.751797+28.583916+0.011549-63.015441-5.0058</f>
        <v>194.326021</v>
      </c>
      <c r="AV84" s="178">
        <f>+AU84</f>
        <v>194.326021</v>
      </c>
      <c r="AW84" s="179">
        <f>234.467959+28.546135-81.008532-5.0058</f>
        <v>176.999762</v>
      </c>
      <c r="AX84" s="179">
        <f>239.669412+28.532585-80.883025-5.0058</f>
        <v>182.31317200000001</v>
      </c>
      <c r="AY84" s="179">
        <f>240.938228+28.526035-80.890718-5.0058</f>
        <v>183.56774500000003</v>
      </c>
      <c r="AZ84" s="179">
        <f>242.064514+28.517035+0.011549-80.799298-5.0058</f>
        <v>184.78800000000001</v>
      </c>
      <c r="BA84" s="178">
        <f>+AZ84</f>
        <v>184.78800000000001</v>
      </c>
      <c r="BB84" s="62">
        <f>245.354204+28.497835-80.387269-5.0058</f>
        <v>188.45896999999999</v>
      </c>
      <c r="BC84" s="62">
        <f>246.034797+28.470735-80.799298-5.0058</f>
        <v>188.70043400000003</v>
      </c>
      <c r="BD84" s="62">
        <f>246.852839+28.466235-80.297427-5.0058</f>
        <v>190.01584700000001</v>
      </c>
      <c r="BE84" s="62">
        <f>248.264944+28.436565-80.225575-5.0058</f>
        <v>191.470134</v>
      </c>
      <c r="BF84" s="178">
        <f>+BE84</f>
        <v>191.470134</v>
      </c>
      <c r="BG84" s="62">
        <f>248.822004+28.408644-79.802766-5.0058</f>
        <v>192.42208199999996</v>
      </c>
      <c r="BH84" s="62">
        <f>249.196712+28.395261-79.73882-5.0058</f>
        <v>192.847353</v>
      </c>
      <c r="BI84" s="62">
        <f>170.089137+23.383831</f>
        <v>193.47296799999998</v>
      </c>
      <c r="BJ84" s="62">
        <f>250.839359+28.389608-79.681859-5.0058</f>
        <v>194.54130800000001</v>
      </c>
      <c r="BK84" s="178">
        <f>+BJ84</f>
        <v>194.54130800000001</v>
      </c>
      <c r="BL84" s="62">
        <f>251.209452+28.376008-79.306503-5.0058</f>
        <v>195.273157</v>
      </c>
      <c r="BM84" s="62">
        <f>252.083716+28.366554-79.254408-5.0058</f>
        <v>196.19006199999998</v>
      </c>
      <c r="BN84" s="62">
        <f>255.125596+28.358554-79.253678-5.0058</f>
        <v>199.22467200000003</v>
      </c>
      <c r="BO84" s="62">
        <f>255.558026+28.358529-79.454011-5.0058</f>
        <v>199.45674400000004</v>
      </c>
      <c r="BP84" s="178">
        <f>+BO84</f>
        <v>199.45674400000004</v>
      </c>
      <c r="BQ84" s="62">
        <f>256.230269+28.358527-79.081611-5.0058</f>
        <v>200.501385</v>
      </c>
      <c r="BR84" s="62">
        <f>256.740571+28.358527-78.931744-5.0058</f>
        <v>201.161554</v>
      </c>
      <c r="BS84" s="62">
        <f>256.983922+28.358527-81.30873-5.0058</f>
        <v>199.027919</v>
      </c>
      <c r="BT84" s="62">
        <f>171.447198+23.345727+0.00772</f>
        <v>194.800645</v>
      </c>
      <c r="BU84" s="178">
        <f>+BT84</f>
        <v>194.800645</v>
      </c>
      <c r="BV84" s="62">
        <f>171.963496+23.338727+0.00772</f>
        <v>195.309943</v>
      </c>
      <c r="BW84" s="62">
        <f>258.35239+28.340027-86.110068-5.0058</f>
        <v>195.57654900000003</v>
      </c>
      <c r="BX84" s="62">
        <f>171.380625+23.329587+0.00122</f>
        <v>194.711432</v>
      </c>
      <c r="BY84" s="62">
        <f>+BY81+BY82-BY83</f>
        <v>191.74491823853211</v>
      </c>
      <c r="BZ84" s="178">
        <f>+BY84</f>
        <v>191.74491823853211</v>
      </c>
      <c r="CA84" s="62">
        <f>+CA81+CA82-CA83</f>
        <v>190.82877764204088</v>
      </c>
      <c r="CB84" s="62">
        <f>+CB81+CB82-CB83</f>
        <v>189.77085400562493</v>
      </c>
      <c r="CC84" s="62">
        <f>+CC81+CC82-CC83</f>
        <v>188.61689992710586</v>
      </c>
      <c r="CD84" s="62">
        <f>+CD81+CD82-CD83</f>
        <v>187.97367730110676</v>
      </c>
      <c r="CE84" s="178">
        <f>+CD84</f>
        <v>187.97367730110676</v>
      </c>
      <c r="CF84" s="62">
        <f>+CF81+CF82-CF83</f>
        <v>186.45699848964512</v>
      </c>
      <c r="CG84" s="62">
        <f>+CG81+CG82-CG83</f>
        <v>184.81031189737581</v>
      </c>
      <c r="CH84" s="62">
        <f>+CH81+CH82-CH83</f>
        <v>183.07913923468678</v>
      </c>
      <c r="CI84" s="62">
        <f>+CI81+CI82-CI83</f>
        <v>181.87001603597204</v>
      </c>
      <c r="CJ84" s="178">
        <f>+CI84</f>
        <v>181.87001603597204</v>
      </c>
      <c r="CK84" s="62">
        <f>+CK81+CK82-CK83</f>
        <v>180.5076246254674</v>
      </c>
      <c r="CL84" s="62">
        <f>+CL81+CL82-CL83</f>
        <v>179.0122001909991</v>
      </c>
      <c r="CM84" s="62">
        <f>+CM81+CM82-CM83</f>
        <v>177.4293237614483</v>
      </c>
      <c r="CN84" s="62">
        <f>+CN81+CN82-CN83</f>
        <v>176.36558902659459</v>
      </c>
      <c r="CO84" s="178">
        <f>+CN84</f>
        <v>176.36558902659459</v>
      </c>
      <c r="CP84" s="62">
        <f>+CP81+CP82-CP83</f>
        <v>175.14573532575764</v>
      </c>
      <c r="CQ84" s="62">
        <f>+CQ81+CQ82-CQ83</f>
        <v>173.79005374390471</v>
      </c>
      <c r="CR84" s="62">
        <f>+CR81+CR82-CR83</f>
        <v>172.34418011103563</v>
      </c>
      <c r="CS84" s="62">
        <f>+CS81+CS82-CS83</f>
        <v>171.41476184351694</v>
      </c>
      <c r="CT84" s="178">
        <f>+CS84</f>
        <v>171.41476184351694</v>
      </c>
      <c r="CU84" s="62">
        <f>+CU81+CU82-CU83</f>
        <v>170.32659095379273</v>
      </c>
      <c r="CV84" s="62">
        <f>+CV81+CV82-CV83</f>
        <v>169.10001016714838</v>
      </c>
      <c r="CW84" s="62">
        <f>+CW81+CW82-CW83</f>
        <v>167.78070594134655</v>
      </c>
      <c r="CX84" s="62">
        <f>+CX81+CX82-CX83</f>
        <v>166.97537532781536</v>
      </c>
      <c r="CY84" s="178">
        <f>+CX84</f>
        <v>166.97537532781536</v>
      </c>
      <c r="CZ84" s="179"/>
      <c r="DA84" s="777"/>
      <c r="DB84" s="735"/>
      <c r="DC84" s="735"/>
      <c r="DD84" s="802"/>
      <c r="DF84" s="721"/>
      <c r="DG84" s="735"/>
      <c r="DH84" s="735"/>
      <c r="DI84" s="730"/>
      <c r="DJ84" s="730"/>
      <c r="DK84" s="730"/>
      <c r="DL84" s="786"/>
      <c r="DM84" s="786"/>
      <c r="DN84" s="730"/>
      <c r="DU84" s="48"/>
      <c r="DV84" s="48"/>
      <c r="DW84" s="730"/>
      <c r="DX84" s="730"/>
      <c r="DY84" s="730"/>
      <c r="DZ84" s="730"/>
      <c r="EA84" s="730"/>
    </row>
    <row r="85" spans="1:131" hidden="1" outlineLevel="1" x14ac:dyDescent="0.2">
      <c r="A85" s="186" t="s">
        <v>101</v>
      </c>
      <c r="B85" s="186"/>
      <c r="C85" s="48"/>
      <c r="D85" s="62"/>
      <c r="E85" s="62"/>
      <c r="F85" s="62"/>
      <c r="G85" s="62"/>
      <c r="H85" s="156"/>
      <c r="I85" s="155"/>
      <c r="J85" s="155"/>
      <c r="K85" s="155"/>
      <c r="L85" s="155"/>
      <c r="M85" s="156"/>
      <c r="N85" s="155">
        <f t="shared" ref="N85:AS85" si="110">+N77</f>
        <v>219.52199999999999</v>
      </c>
      <c r="O85" s="155">
        <f t="shared" si="110"/>
        <v>220.42500000000001</v>
      </c>
      <c r="P85" s="155">
        <f t="shared" si="110"/>
        <v>221.108</v>
      </c>
      <c r="Q85" s="155">
        <f t="shared" si="110"/>
        <v>222.22400000000002</v>
      </c>
      <c r="R85" s="156">
        <f t="shared" si="110"/>
        <v>220.81975000000003</v>
      </c>
      <c r="S85" s="155">
        <f t="shared" si="110"/>
        <v>223.42400000000001</v>
      </c>
      <c r="T85" s="155">
        <f t="shared" si="110"/>
        <v>224.161</v>
      </c>
      <c r="U85" s="155">
        <f t="shared" si="110"/>
        <v>233.36100000000002</v>
      </c>
      <c r="V85" s="155">
        <f t="shared" si="110"/>
        <v>234.452</v>
      </c>
      <c r="W85" s="156">
        <f t="shared" si="110"/>
        <v>228.84950000000001</v>
      </c>
      <c r="X85" s="155">
        <f t="shared" si="110"/>
        <v>229.46</v>
      </c>
      <c r="Y85" s="155">
        <f t="shared" si="110"/>
        <v>215.12700000000001</v>
      </c>
      <c r="Z85" s="155">
        <f t="shared" si="110"/>
        <v>215.387</v>
      </c>
      <c r="AA85" s="155">
        <f t="shared" si="110"/>
        <v>215.74</v>
      </c>
      <c r="AB85" s="156">
        <f t="shared" si="110"/>
        <v>218.92849999999999</v>
      </c>
      <c r="AC85" s="155">
        <f t="shared" si="110"/>
        <v>216.56100000000001</v>
      </c>
      <c r="AD85" s="155">
        <f t="shared" si="110"/>
        <v>217.48699999999999</v>
      </c>
      <c r="AE85" s="155">
        <f t="shared" si="110"/>
        <v>218.19499999999999</v>
      </c>
      <c r="AF85" s="155">
        <f t="shared" si="110"/>
        <v>218.41300000000001</v>
      </c>
      <c r="AG85" s="156">
        <f t="shared" si="110"/>
        <v>217.66399999999999</v>
      </c>
      <c r="AH85" s="155">
        <f t="shared" si="110"/>
        <v>218.977</v>
      </c>
      <c r="AI85" s="155">
        <f t="shared" si="110"/>
        <v>219.64600000000002</v>
      </c>
      <c r="AJ85" s="155">
        <f t="shared" si="110"/>
        <v>220.239</v>
      </c>
      <c r="AK85" s="155">
        <f t="shared" si="110"/>
        <v>220.48099999999999</v>
      </c>
      <c r="AL85" s="156">
        <f t="shared" si="110"/>
        <v>219.83575000000002</v>
      </c>
      <c r="AM85" s="155">
        <f t="shared" si="110"/>
        <v>216.43899999999999</v>
      </c>
      <c r="AN85" s="155">
        <f t="shared" si="110"/>
        <v>209.167</v>
      </c>
      <c r="AO85" s="155">
        <f t="shared" si="110"/>
        <v>209.952</v>
      </c>
      <c r="AP85" s="155">
        <f t="shared" si="110"/>
        <v>208.005</v>
      </c>
      <c r="AQ85" s="156">
        <f t="shared" si="110"/>
        <v>210.91</v>
      </c>
      <c r="AR85" s="155">
        <f t="shared" si="110"/>
        <v>210.64999999999998</v>
      </c>
      <c r="AS85" s="155">
        <f t="shared" si="110"/>
        <v>210.22199999999998</v>
      </c>
      <c r="AT85" s="157">
        <f>AT77</f>
        <v>200.15100000000001</v>
      </c>
      <c r="AU85" s="157">
        <f>AU77</f>
        <v>196.374</v>
      </c>
      <c r="AV85" s="156">
        <f>+AV77</f>
        <v>204.31399999999999</v>
      </c>
      <c r="AW85" s="157">
        <f>AW77</f>
        <v>185.81299999999999</v>
      </c>
      <c r="AX85" s="157">
        <f>AX77</f>
        <v>178.33</v>
      </c>
      <c r="AY85" s="157">
        <f>AY77</f>
        <v>181.79400000000001</v>
      </c>
      <c r="AZ85" s="157">
        <f>AZ77</f>
        <v>182.83199999999999</v>
      </c>
      <c r="BA85" s="156">
        <f>+BA77</f>
        <v>182.19</v>
      </c>
      <c r="BB85" s="157">
        <f>BB77</f>
        <v>185.22800000000001</v>
      </c>
      <c r="BC85" s="157">
        <f>BC77</f>
        <v>188.297</v>
      </c>
      <c r="BD85" s="157">
        <f>BD77</f>
        <v>189.16899999999998</v>
      </c>
      <c r="BE85" s="157">
        <f>BE77</f>
        <v>189.97499999999999</v>
      </c>
      <c r="BF85" s="156">
        <f>+BF77</f>
        <v>188.154</v>
      </c>
      <c r="BG85" s="157">
        <f>BG77</f>
        <v>191.57299999999998</v>
      </c>
      <c r="BH85" s="157">
        <f>BH77</f>
        <v>192.559</v>
      </c>
      <c r="BI85" s="157">
        <f>BI77</f>
        <v>192.97200000000001</v>
      </c>
      <c r="BJ85" s="155">
        <f>AVERAGE(BJ81,BJ84)</f>
        <v>194.007138</v>
      </c>
      <c r="BK85" s="156">
        <f t="shared" ref="BK85:BW85" si="111">+BK77</f>
        <v>192.72574999999998</v>
      </c>
      <c r="BL85" s="155">
        <f t="shared" si="111"/>
        <v>194.74600000000001</v>
      </c>
      <c r="BM85" s="155">
        <f t="shared" si="111"/>
        <v>195.60300000000001</v>
      </c>
      <c r="BN85" s="155">
        <f t="shared" si="111"/>
        <v>197.291</v>
      </c>
      <c r="BO85" s="155">
        <f t="shared" si="111"/>
        <v>199.37700000000001</v>
      </c>
      <c r="BP85" s="156">
        <f t="shared" si="111"/>
        <v>196.75425000000001</v>
      </c>
      <c r="BQ85" s="155">
        <f t="shared" si="111"/>
        <v>199.89500000000001</v>
      </c>
      <c r="BR85" s="155">
        <f t="shared" si="111"/>
        <v>200.995</v>
      </c>
      <c r="BS85" s="155">
        <f t="shared" si="111"/>
        <v>200.86600000000001</v>
      </c>
      <c r="BT85" s="155">
        <f t="shared" si="111"/>
        <v>195.50800000000001</v>
      </c>
      <c r="BU85" s="156">
        <f t="shared" si="111"/>
        <v>199.316</v>
      </c>
      <c r="BV85" s="155">
        <f t="shared" si="111"/>
        <v>194.899</v>
      </c>
      <c r="BW85" s="155">
        <f t="shared" si="111"/>
        <v>195.42499999999998</v>
      </c>
      <c r="BX85" s="155">
        <f>+BX77</f>
        <v>195.255</v>
      </c>
      <c r="BY85" s="155">
        <f>+BY77</f>
        <v>193.572</v>
      </c>
      <c r="BZ85" s="156">
        <f>+BZ77</f>
        <v>194.78774999999999</v>
      </c>
      <c r="CA85" s="155">
        <f>AVERAGE(CA81,CA84)</f>
        <v>191.28684794028649</v>
      </c>
      <c r="CB85" s="155">
        <f>AVERAGE(CB81,CB84)</f>
        <v>190.29981582383289</v>
      </c>
      <c r="CC85" s="155">
        <f>AVERAGE(CC81,CC84)</f>
        <v>189.19387696636539</v>
      </c>
      <c r="CD85" s="155">
        <f>AVERAGE(CD81,CD84)</f>
        <v>188.29528861410631</v>
      </c>
      <c r="CE85" s="156">
        <f>+CE77</f>
        <v>189.76895733614776</v>
      </c>
      <c r="CF85" s="155">
        <f>AVERAGE(CF81,CF84)</f>
        <v>187.21533789537594</v>
      </c>
      <c r="CG85" s="155">
        <f>AVERAGE(CG81,CG84)</f>
        <v>185.63365519351046</v>
      </c>
      <c r="CH85" s="155">
        <f>AVERAGE(CH81,CH84)</f>
        <v>183.94472556603131</v>
      </c>
      <c r="CI85" s="155">
        <f>AVERAGE(CI81,CI84)</f>
        <v>182.47457763532941</v>
      </c>
      <c r="CJ85" s="156">
        <f>+CJ77</f>
        <v>184.81707407256178</v>
      </c>
      <c r="CK85" s="155">
        <f>AVERAGE(CK81,CK84)</f>
        <v>181.18882033071972</v>
      </c>
      <c r="CL85" s="155">
        <f>AVERAGE(CL81,CL84)</f>
        <v>179.75991240823325</v>
      </c>
      <c r="CM85" s="155">
        <f>AVERAGE(CM81,CM84)</f>
        <v>178.22076197622368</v>
      </c>
      <c r="CN85" s="155">
        <f>AVERAGE(CN81,CN84)</f>
        <v>176.89745639402145</v>
      </c>
      <c r="CO85" s="156">
        <f>+CO77</f>
        <v>179.01673777729951</v>
      </c>
      <c r="CP85" s="155">
        <f>AVERAGE(CP81,CP84)</f>
        <v>175.75566217617612</v>
      </c>
      <c r="CQ85" s="155">
        <f>AVERAGE(CQ81,CQ84)</f>
        <v>174.46789453483117</v>
      </c>
      <c r="CR85" s="155">
        <f>AVERAGE(CR81,CR84)</f>
        <v>173.06711692747018</v>
      </c>
      <c r="CS85" s="155">
        <f>AVERAGE(CS81,CS84)</f>
        <v>171.8794709772763</v>
      </c>
      <c r="CT85" s="156">
        <f>+CT77</f>
        <v>173.79253615393844</v>
      </c>
      <c r="CU85" s="155">
        <f>AVERAGE(CU81,CU84)</f>
        <v>170.87067639865484</v>
      </c>
      <c r="CV85" s="155">
        <f>AVERAGE(CV81,CV84)</f>
        <v>169.71330056047054</v>
      </c>
      <c r="CW85" s="155">
        <f>AVERAGE(CW81,CW84)</f>
        <v>168.44035805424747</v>
      </c>
      <c r="CX85" s="155">
        <f>AVERAGE(CX81,CX84)</f>
        <v>167.37804063458094</v>
      </c>
      <c r="CY85" s="156">
        <f>+CY77</f>
        <v>169.10059391198843</v>
      </c>
      <c r="CZ85" s="157"/>
      <c r="DB85" s="735"/>
      <c r="DC85" s="735"/>
      <c r="DD85" s="802"/>
      <c r="DF85" s="721"/>
      <c r="DG85" s="741"/>
      <c r="DH85" s="741"/>
      <c r="DI85" s="730"/>
      <c r="DJ85" s="730"/>
      <c r="DK85" s="730"/>
      <c r="DL85" s="786"/>
      <c r="DM85" s="786"/>
      <c r="DN85" s="730"/>
      <c r="DU85" s="48"/>
      <c r="DV85" s="48"/>
      <c r="DW85" s="730"/>
      <c r="DX85" s="730"/>
      <c r="DY85" s="730"/>
      <c r="DZ85" s="730"/>
      <c r="EA85" s="730"/>
    </row>
    <row r="86" spans="1:131" hidden="1" outlineLevel="1" x14ac:dyDescent="0.2">
      <c r="A86" s="177" t="s">
        <v>102</v>
      </c>
      <c r="B86" s="177"/>
      <c r="C86" s="48"/>
      <c r="D86" s="62"/>
      <c r="E86" s="62"/>
      <c r="F86" s="62"/>
      <c r="G86" s="62"/>
      <c r="H86" s="141"/>
      <c r="I86" s="119"/>
      <c r="J86" s="119"/>
      <c r="K86" s="119"/>
      <c r="L86" s="119"/>
      <c r="M86" s="141"/>
      <c r="N86" s="119">
        <f t="shared" ref="N86:BG86" si="112">+N87-N85</f>
        <v>18.632000000000005</v>
      </c>
      <c r="O86" s="119">
        <f t="shared" si="112"/>
        <v>18.645999999999987</v>
      </c>
      <c r="P86" s="119">
        <f t="shared" si="112"/>
        <v>17.474999999999994</v>
      </c>
      <c r="Q86" s="119">
        <f t="shared" si="112"/>
        <v>17.343999999999994</v>
      </c>
      <c r="R86" s="141">
        <f t="shared" si="112"/>
        <v>17.887249999999966</v>
      </c>
      <c r="S86" s="119">
        <f t="shared" si="112"/>
        <v>16.675999999999988</v>
      </c>
      <c r="T86" s="119">
        <f t="shared" si="112"/>
        <v>16.157000000000011</v>
      </c>
      <c r="U86" s="119">
        <f t="shared" si="112"/>
        <v>6.0349999999999682</v>
      </c>
      <c r="V86" s="119">
        <f t="shared" si="112"/>
        <v>5.1140000000000043</v>
      </c>
      <c r="W86" s="141">
        <f t="shared" si="112"/>
        <v>10.922499999999985</v>
      </c>
      <c r="X86" s="119">
        <f t="shared" si="112"/>
        <v>3.978999999999985</v>
      </c>
      <c r="Y86" s="119">
        <f t="shared" si="112"/>
        <v>4.1730000000000018</v>
      </c>
      <c r="Z86" s="119">
        <f t="shared" si="112"/>
        <v>4.0449999999999875</v>
      </c>
      <c r="AA86" s="119">
        <f t="shared" si="112"/>
        <v>3.4590000000000032</v>
      </c>
      <c r="AB86" s="141">
        <f t="shared" si="112"/>
        <v>3.9965000000000259</v>
      </c>
      <c r="AC86" s="119">
        <f t="shared" si="112"/>
        <v>2.625</v>
      </c>
      <c r="AD86" s="119">
        <f t="shared" si="112"/>
        <v>2.8660000000000139</v>
      </c>
      <c r="AE86" s="119">
        <f t="shared" si="112"/>
        <v>1.811000000000007</v>
      </c>
      <c r="AF86" s="119">
        <f t="shared" si="112"/>
        <v>1.4369999999999834</v>
      </c>
      <c r="AG86" s="141">
        <f t="shared" si="112"/>
        <v>2.2660000000000196</v>
      </c>
      <c r="AH86" s="119">
        <f t="shared" si="112"/>
        <v>0.84299999999998931</v>
      </c>
      <c r="AI86" s="119">
        <f t="shared" si="112"/>
        <v>1.0679999999999836</v>
      </c>
      <c r="AJ86" s="62">
        <f t="shared" si="112"/>
        <v>1.9660000000000082</v>
      </c>
      <c r="AK86" s="62">
        <f t="shared" si="112"/>
        <v>2.1129999999999995</v>
      </c>
      <c r="AL86" s="141">
        <f t="shared" si="112"/>
        <v>1.4975000000000023</v>
      </c>
      <c r="AM86" s="62">
        <f t="shared" si="112"/>
        <v>2.4170000000000016</v>
      </c>
      <c r="AN86" s="62">
        <f t="shared" si="112"/>
        <v>1.9819999999999993</v>
      </c>
      <c r="AO86" s="62">
        <f t="shared" si="112"/>
        <v>3.1580000000000155</v>
      </c>
      <c r="AP86" s="62">
        <f t="shared" si="112"/>
        <v>4.3810000000000002</v>
      </c>
      <c r="AQ86" s="141">
        <f t="shared" si="112"/>
        <v>2.8549999999999898</v>
      </c>
      <c r="AR86" s="62">
        <f t="shared" si="112"/>
        <v>4.26400000000001</v>
      </c>
      <c r="AS86" s="62">
        <f t="shared" si="112"/>
        <v>3.4230000000000302</v>
      </c>
      <c r="AT86" s="179">
        <f t="shared" si="112"/>
        <v>2.7819999999999823</v>
      </c>
      <c r="AU86" s="179">
        <f t="shared" si="112"/>
        <v>4.5889999999999986</v>
      </c>
      <c r="AV86" s="141">
        <f t="shared" si="112"/>
        <v>4.3410000000000082</v>
      </c>
      <c r="AW86" s="179">
        <f t="shared" si="112"/>
        <v>4.4480000000000075</v>
      </c>
      <c r="AX86" s="179">
        <f t="shared" si="112"/>
        <v>6.3099999999999739</v>
      </c>
      <c r="AY86" s="179">
        <f t="shared" si="112"/>
        <v>7.9019999999999868</v>
      </c>
      <c r="AZ86" s="179">
        <f t="shared" si="112"/>
        <v>9.0570000000000164</v>
      </c>
      <c r="BA86" s="141">
        <f t="shared" si="112"/>
        <v>8.1169999999999902</v>
      </c>
      <c r="BB86" s="179">
        <f t="shared" si="112"/>
        <v>9.6559999999999775</v>
      </c>
      <c r="BC86" s="179">
        <f t="shared" si="112"/>
        <v>8.4699999999999989</v>
      </c>
      <c r="BD86" s="179">
        <f t="shared" si="112"/>
        <v>8.9130000000000109</v>
      </c>
      <c r="BE86" s="179">
        <f t="shared" si="112"/>
        <v>9.186000000000007</v>
      </c>
      <c r="BF86" s="141">
        <f t="shared" si="112"/>
        <v>9.4159999999999968</v>
      </c>
      <c r="BG86" s="179">
        <f t="shared" si="112"/>
        <v>8.785000000000025</v>
      </c>
      <c r="BH86" s="179">
        <f t="shared" ref="BH86:BM86" si="113">+BH87-BH85</f>
        <v>8.2410000000000139</v>
      </c>
      <c r="BI86" s="179">
        <f t="shared" si="113"/>
        <v>8.304000000000002</v>
      </c>
      <c r="BJ86" s="179">
        <f t="shared" si="113"/>
        <v>8.1988619999999912</v>
      </c>
      <c r="BK86" s="141">
        <f t="shared" si="113"/>
        <v>8.43425000000002</v>
      </c>
      <c r="BL86" s="179">
        <f t="shared" si="113"/>
        <v>8.1089999999999804</v>
      </c>
      <c r="BM86" s="179">
        <f t="shared" si="113"/>
        <v>7.507000000000005</v>
      </c>
      <c r="BN86" s="179">
        <f>+BN87-BN85</f>
        <v>6.8050000000000068</v>
      </c>
      <c r="BO86" s="179">
        <f>+BO87-BO85</f>
        <v>5.813999999999993</v>
      </c>
      <c r="BP86" s="141">
        <f>+BP87-BP85</f>
        <v>7.0587500000000034</v>
      </c>
      <c r="BQ86" s="179">
        <f>+BQ87-BQ85</f>
        <v>5.4724899999999934</v>
      </c>
      <c r="BR86" s="179">
        <f t="shared" ref="BR86:BU86" si="114">+BR87-BR85</f>
        <v>4.6598999999999933</v>
      </c>
      <c r="BS86" s="179">
        <f t="shared" si="114"/>
        <v>4.5894899999999836</v>
      </c>
      <c r="BT86" s="179">
        <f t="shared" si="114"/>
        <v>4.3599999999999852</v>
      </c>
      <c r="BU86" s="141">
        <f t="shared" si="114"/>
        <v>4.782999999999987</v>
      </c>
      <c r="BV86" s="179">
        <f>+BV87-BV85</f>
        <v>6.1310000000000002</v>
      </c>
      <c r="BW86" s="179">
        <f>+BW87-BW85</f>
        <v>5.9210000000000207</v>
      </c>
      <c r="BX86" s="179">
        <f>+BX87-BX85</f>
        <v>5.921999999999997</v>
      </c>
      <c r="BY86" s="179">
        <f>+BY87-BY85</f>
        <v>5.921999999999997</v>
      </c>
      <c r="BZ86" s="141">
        <f>+BZ87-BZ85</f>
        <v>5.974000000000018</v>
      </c>
      <c r="CA86" s="198">
        <f>+BY86</f>
        <v>5.921999999999997</v>
      </c>
      <c r="CB86" s="198">
        <f>+BW86</f>
        <v>5.9210000000000207</v>
      </c>
      <c r="CC86" s="198">
        <f>+BX86</f>
        <v>5.921999999999997</v>
      </c>
      <c r="CD86" s="198">
        <f>+BY86</f>
        <v>5.921999999999997</v>
      </c>
      <c r="CE86" s="141">
        <f>+CE87-CE85</f>
        <v>5.921750000000003</v>
      </c>
      <c r="CF86" s="198">
        <f>+CA86</f>
        <v>5.921999999999997</v>
      </c>
      <c r="CG86" s="198">
        <f>+CB86</f>
        <v>5.9210000000000207</v>
      </c>
      <c r="CH86" s="198">
        <f>+CC86</f>
        <v>5.921999999999997</v>
      </c>
      <c r="CI86" s="198">
        <f>+CD86</f>
        <v>5.921999999999997</v>
      </c>
      <c r="CJ86" s="141">
        <f>+CJ87-CJ85</f>
        <v>5.921750000000003</v>
      </c>
      <c r="CK86" s="198">
        <f>+CF86</f>
        <v>5.921999999999997</v>
      </c>
      <c r="CL86" s="198">
        <f>+CG86</f>
        <v>5.9210000000000207</v>
      </c>
      <c r="CM86" s="198">
        <f>+CH86</f>
        <v>5.921999999999997</v>
      </c>
      <c r="CN86" s="198">
        <f>+CI86</f>
        <v>5.921999999999997</v>
      </c>
      <c r="CO86" s="141">
        <f>+CO87-CO85</f>
        <v>5.9217500000000314</v>
      </c>
      <c r="CP86" s="198">
        <f>+CK86</f>
        <v>5.921999999999997</v>
      </c>
      <c r="CQ86" s="198">
        <f>+CL86</f>
        <v>5.9210000000000207</v>
      </c>
      <c r="CR86" s="198">
        <f>+CM86</f>
        <v>5.921999999999997</v>
      </c>
      <c r="CS86" s="198">
        <f>+CN86</f>
        <v>5.921999999999997</v>
      </c>
      <c r="CT86" s="141">
        <f>+CT87-CT85</f>
        <v>5.921750000000003</v>
      </c>
      <c r="CU86" s="198">
        <f>+CP86</f>
        <v>5.921999999999997</v>
      </c>
      <c r="CV86" s="198">
        <f>+CQ86</f>
        <v>5.9210000000000207</v>
      </c>
      <c r="CW86" s="198">
        <f>+CR86</f>
        <v>5.921999999999997</v>
      </c>
      <c r="CX86" s="198">
        <f>+CS86</f>
        <v>5.921999999999997</v>
      </c>
      <c r="CY86" s="141">
        <f>+CY87-CY85</f>
        <v>5.9217500000000314</v>
      </c>
      <c r="CZ86" s="142"/>
      <c r="DB86" s="735"/>
      <c r="DC86" s="735"/>
      <c r="DD86" s="802"/>
      <c r="DF86" s="721"/>
      <c r="DG86" s="735"/>
      <c r="DH86" s="735"/>
      <c r="DI86" s="730"/>
      <c r="DJ86" s="730"/>
      <c r="DK86" s="730"/>
      <c r="DL86" s="786"/>
      <c r="DM86" s="786"/>
      <c r="DN86" s="730"/>
      <c r="DU86" s="48"/>
      <c r="DV86" s="48"/>
      <c r="DW86" s="730"/>
      <c r="DX86" s="730"/>
      <c r="DY86" s="730"/>
      <c r="DZ86" s="730"/>
      <c r="EA86" s="730"/>
    </row>
    <row r="87" spans="1:131" hidden="1" outlineLevel="1" x14ac:dyDescent="0.2">
      <c r="A87" s="186" t="s">
        <v>103</v>
      </c>
      <c r="B87" s="186"/>
      <c r="C87" s="48"/>
      <c r="D87" s="62"/>
      <c r="E87" s="62"/>
      <c r="F87" s="62"/>
      <c r="G87" s="62"/>
      <c r="H87" s="156"/>
      <c r="I87" s="155"/>
      <c r="J87" s="155"/>
      <c r="K87" s="155"/>
      <c r="L87" s="155"/>
      <c r="M87" s="156"/>
      <c r="N87" s="155">
        <f t="shared" ref="N87:AS87" si="115">+N78</f>
        <v>238.154</v>
      </c>
      <c r="O87" s="155">
        <f t="shared" si="115"/>
        <v>239.071</v>
      </c>
      <c r="P87" s="155">
        <f t="shared" si="115"/>
        <v>238.583</v>
      </c>
      <c r="Q87" s="155">
        <f t="shared" si="115"/>
        <v>239.56800000000001</v>
      </c>
      <c r="R87" s="156">
        <f t="shared" si="115"/>
        <v>238.70699999999999</v>
      </c>
      <c r="S87" s="155">
        <f t="shared" si="115"/>
        <v>240.1</v>
      </c>
      <c r="T87" s="155">
        <f t="shared" si="115"/>
        <v>240.31800000000001</v>
      </c>
      <c r="U87" s="155">
        <f t="shared" si="115"/>
        <v>239.39599999999999</v>
      </c>
      <c r="V87" s="155">
        <f t="shared" si="115"/>
        <v>239.566</v>
      </c>
      <c r="W87" s="156">
        <f t="shared" si="115"/>
        <v>239.77199999999999</v>
      </c>
      <c r="X87" s="155">
        <f t="shared" si="115"/>
        <v>233.43899999999999</v>
      </c>
      <c r="Y87" s="155">
        <f t="shared" si="115"/>
        <v>219.3</v>
      </c>
      <c r="Z87" s="155">
        <f t="shared" si="115"/>
        <v>219.43199999999999</v>
      </c>
      <c r="AA87" s="155">
        <f t="shared" si="115"/>
        <v>219.19900000000001</v>
      </c>
      <c r="AB87" s="156">
        <f t="shared" si="115"/>
        <v>222.92500000000001</v>
      </c>
      <c r="AC87" s="155">
        <f t="shared" si="115"/>
        <v>219.18600000000001</v>
      </c>
      <c r="AD87" s="155">
        <f t="shared" si="115"/>
        <v>220.35300000000001</v>
      </c>
      <c r="AE87" s="155">
        <f t="shared" si="115"/>
        <v>220.006</v>
      </c>
      <c r="AF87" s="155">
        <f t="shared" si="115"/>
        <v>219.85</v>
      </c>
      <c r="AG87" s="156">
        <f t="shared" si="115"/>
        <v>219.93</v>
      </c>
      <c r="AH87" s="155">
        <f t="shared" si="115"/>
        <v>219.82</v>
      </c>
      <c r="AI87" s="155">
        <f t="shared" si="115"/>
        <v>220.714</v>
      </c>
      <c r="AJ87" s="155">
        <f t="shared" si="115"/>
        <v>222.20500000000001</v>
      </c>
      <c r="AK87" s="155">
        <f t="shared" si="115"/>
        <v>222.59399999999999</v>
      </c>
      <c r="AL87" s="156">
        <f t="shared" si="115"/>
        <v>221.33325000000002</v>
      </c>
      <c r="AM87" s="155">
        <f t="shared" si="115"/>
        <v>218.85599999999999</v>
      </c>
      <c r="AN87" s="155">
        <f t="shared" si="115"/>
        <v>211.149</v>
      </c>
      <c r="AO87" s="155">
        <f t="shared" si="115"/>
        <v>213.11</v>
      </c>
      <c r="AP87" s="155">
        <f t="shared" si="115"/>
        <v>212.386</v>
      </c>
      <c r="AQ87" s="156">
        <f t="shared" si="115"/>
        <v>213.76499999999999</v>
      </c>
      <c r="AR87" s="155">
        <f t="shared" si="115"/>
        <v>214.91399999999999</v>
      </c>
      <c r="AS87" s="155">
        <f t="shared" si="115"/>
        <v>213.64500000000001</v>
      </c>
      <c r="AT87" s="157">
        <f>AT78</f>
        <v>202.93299999999999</v>
      </c>
      <c r="AU87" s="157">
        <f>AU78</f>
        <v>200.96299999999999</v>
      </c>
      <c r="AV87" s="156">
        <f>+AV78</f>
        <v>208.655</v>
      </c>
      <c r="AW87" s="157">
        <f>AW78</f>
        <v>190.261</v>
      </c>
      <c r="AX87" s="157">
        <f>AX78</f>
        <v>184.64</v>
      </c>
      <c r="AY87" s="157">
        <f>AY78</f>
        <v>189.696</v>
      </c>
      <c r="AZ87" s="157">
        <f>AZ78</f>
        <v>191.88900000000001</v>
      </c>
      <c r="BA87" s="156">
        <f>+BA78</f>
        <v>190.30699999999999</v>
      </c>
      <c r="BB87" s="157">
        <f>BB78</f>
        <v>194.88399999999999</v>
      </c>
      <c r="BC87" s="157">
        <f>BC78</f>
        <v>196.767</v>
      </c>
      <c r="BD87" s="157">
        <f>BD78</f>
        <v>198.08199999999999</v>
      </c>
      <c r="BE87" s="157">
        <f>BE78</f>
        <v>199.161</v>
      </c>
      <c r="BF87" s="156">
        <f>+BF78</f>
        <v>197.57</v>
      </c>
      <c r="BG87" s="157">
        <f>BG78</f>
        <v>200.358</v>
      </c>
      <c r="BH87" s="157">
        <f>BH78</f>
        <v>200.8</v>
      </c>
      <c r="BI87" s="157">
        <f>BI78</f>
        <v>201.27600000000001</v>
      </c>
      <c r="BJ87" s="157">
        <f>BJ78</f>
        <v>202.20599999999999</v>
      </c>
      <c r="BK87" s="156">
        <f>+BK78</f>
        <v>201.16</v>
      </c>
      <c r="BL87" s="157">
        <f>BL78</f>
        <v>202.85499999999999</v>
      </c>
      <c r="BM87" s="157">
        <f>BM78</f>
        <v>203.11</v>
      </c>
      <c r="BN87" s="157">
        <f>BN78</f>
        <v>204.096</v>
      </c>
      <c r="BO87" s="157">
        <f>BO78</f>
        <v>205.191</v>
      </c>
      <c r="BP87" s="156">
        <f>+BP78</f>
        <v>203.81300000000002</v>
      </c>
      <c r="BQ87" s="157">
        <f>BQ78</f>
        <v>205.36749</v>
      </c>
      <c r="BR87" s="157">
        <f>BR78</f>
        <v>205.6549</v>
      </c>
      <c r="BS87" s="157">
        <f>BS78</f>
        <v>205.45549</v>
      </c>
      <c r="BT87" s="157">
        <f>BT78</f>
        <v>199.86799999999999</v>
      </c>
      <c r="BU87" s="156">
        <f>+BU78</f>
        <v>204.09899999999999</v>
      </c>
      <c r="BV87" s="157">
        <f>BV78</f>
        <v>201.03</v>
      </c>
      <c r="BW87" s="157">
        <f>BW78</f>
        <v>201.346</v>
      </c>
      <c r="BX87" s="157">
        <f>BX78</f>
        <v>201.17699999999999</v>
      </c>
      <c r="BY87" s="157">
        <f>BY78</f>
        <v>199.494</v>
      </c>
      <c r="BZ87" s="156">
        <f>+BZ78</f>
        <v>200.76175000000001</v>
      </c>
      <c r="CA87" s="155">
        <f>+CA85+CA86</f>
        <v>197.20884794028649</v>
      </c>
      <c r="CB87" s="155">
        <f>+CB85+CB86</f>
        <v>196.22081582383291</v>
      </c>
      <c r="CC87" s="155">
        <f>+CC85+CC86</f>
        <v>195.11587696636539</v>
      </c>
      <c r="CD87" s="155">
        <f>+CD85+CD86</f>
        <v>194.21728861410631</v>
      </c>
      <c r="CE87" s="156">
        <f>+CE78</f>
        <v>195.69070733614777</v>
      </c>
      <c r="CF87" s="155">
        <f>+CF85+CF86</f>
        <v>193.13733789537594</v>
      </c>
      <c r="CG87" s="155">
        <f>+CG85+CG86</f>
        <v>191.55465519351048</v>
      </c>
      <c r="CH87" s="155">
        <f>+CH85+CH86</f>
        <v>189.86672556603131</v>
      </c>
      <c r="CI87" s="155">
        <f>+CI85+CI86</f>
        <v>188.39657763532941</v>
      </c>
      <c r="CJ87" s="156">
        <f>+CJ78</f>
        <v>190.73882407256178</v>
      </c>
      <c r="CK87" s="155">
        <f>+CK85+CK86</f>
        <v>187.11082033071972</v>
      </c>
      <c r="CL87" s="155">
        <f>+CL85+CL86</f>
        <v>185.68091240823327</v>
      </c>
      <c r="CM87" s="155">
        <f>+CM85+CM86</f>
        <v>184.14276197622368</v>
      </c>
      <c r="CN87" s="155">
        <f>+CN85+CN86</f>
        <v>182.81945639402144</v>
      </c>
      <c r="CO87" s="156">
        <f>+CO78</f>
        <v>184.93848777729954</v>
      </c>
      <c r="CP87" s="155">
        <f>+CP85+CP86</f>
        <v>181.67766217617611</v>
      </c>
      <c r="CQ87" s="155">
        <f>+CQ85+CQ86</f>
        <v>180.38889453483119</v>
      </c>
      <c r="CR87" s="155">
        <f>+CR85+CR86</f>
        <v>178.98911692747018</v>
      </c>
      <c r="CS87" s="155">
        <f>+CS85+CS86</f>
        <v>177.8014709772763</v>
      </c>
      <c r="CT87" s="156">
        <f>+CT78</f>
        <v>179.71428615393845</v>
      </c>
      <c r="CU87" s="155">
        <f>+CU85+CU86</f>
        <v>176.79267639865483</v>
      </c>
      <c r="CV87" s="155">
        <f>+CV85+CV86</f>
        <v>175.63430056047056</v>
      </c>
      <c r="CW87" s="155">
        <f>+CW85+CW86</f>
        <v>174.36235805424747</v>
      </c>
      <c r="CX87" s="155">
        <f>+CX85+CX86</f>
        <v>173.30004063458094</v>
      </c>
      <c r="CY87" s="156">
        <f>+CY78</f>
        <v>175.02234391198846</v>
      </c>
      <c r="CZ87" s="157"/>
      <c r="DB87" s="735"/>
      <c r="DC87" s="735"/>
      <c r="DD87" s="802"/>
      <c r="DF87" s="721"/>
      <c r="DG87" s="741"/>
      <c r="DH87" s="741"/>
      <c r="DI87" s="730"/>
      <c r="DJ87" s="730"/>
      <c r="DK87" s="730"/>
      <c r="DL87" s="786"/>
      <c r="DM87" s="786"/>
      <c r="DN87" s="730"/>
      <c r="DU87" s="48"/>
      <c r="DV87" s="48"/>
      <c r="DW87" s="730"/>
      <c r="DX87" s="730"/>
      <c r="DY87" s="730"/>
      <c r="DZ87" s="730"/>
      <c r="EA87" s="730"/>
    </row>
    <row r="88" spans="1:131" hidden="1" outlineLevel="1" x14ac:dyDescent="0.2">
      <c r="A88" s="186"/>
      <c r="B88" s="186"/>
      <c r="C88" s="48"/>
      <c r="D88" s="62"/>
      <c r="E88" s="62"/>
      <c r="F88" s="62"/>
      <c r="G88" s="62"/>
      <c r="H88" s="156"/>
      <c r="I88" s="155"/>
      <c r="J88" s="155"/>
      <c r="K88" s="155"/>
      <c r="L88" s="155"/>
      <c r="M88" s="156"/>
      <c r="N88" s="155"/>
      <c r="O88" s="155"/>
      <c r="P88" s="155"/>
      <c r="Q88" s="155"/>
      <c r="R88" s="156"/>
      <c r="S88" s="155"/>
      <c r="T88" s="155"/>
      <c r="U88" s="155"/>
      <c r="V88" s="155"/>
      <c r="W88" s="156"/>
      <c r="X88" s="155"/>
      <c r="Y88" s="155"/>
      <c r="Z88" s="155"/>
      <c r="AA88" s="155"/>
      <c r="AB88" s="156"/>
      <c r="AC88" s="155"/>
      <c r="AD88" s="155"/>
      <c r="AE88" s="155"/>
      <c r="AF88" s="155"/>
      <c r="AG88" s="156"/>
      <c r="AH88" s="155"/>
      <c r="AI88" s="155"/>
      <c r="AJ88" s="155"/>
      <c r="AK88" s="155"/>
      <c r="AL88" s="156"/>
      <c r="AM88" s="155"/>
      <c r="AN88" s="155"/>
      <c r="AO88" s="155"/>
      <c r="AP88" s="155"/>
      <c r="AQ88" s="156"/>
      <c r="AR88" s="155"/>
      <c r="AS88" s="155"/>
      <c r="AT88" s="157"/>
      <c r="AU88" s="157"/>
      <c r="AV88" s="156"/>
      <c r="AW88" s="157"/>
      <c r="AX88" s="157"/>
      <c r="AY88" s="157"/>
      <c r="AZ88" s="157"/>
      <c r="BA88" s="156"/>
      <c r="BB88" s="157"/>
      <c r="BC88" s="157"/>
      <c r="BD88" s="157"/>
      <c r="BE88" s="157"/>
      <c r="BF88" s="156"/>
      <c r="BG88" s="157"/>
      <c r="BH88" s="157"/>
      <c r="BI88" s="157"/>
      <c r="BJ88" s="157"/>
      <c r="BK88" s="156"/>
      <c r="BL88" s="157"/>
      <c r="BM88" s="157"/>
      <c r="BN88" s="157"/>
      <c r="BO88" s="157"/>
      <c r="BP88" s="156"/>
      <c r="BQ88" s="157"/>
      <c r="BR88" s="157"/>
      <c r="BS88" s="157"/>
      <c r="BT88" s="157"/>
      <c r="BU88" s="156"/>
      <c r="BV88" s="157"/>
      <c r="BW88" s="157"/>
      <c r="BX88" s="157"/>
      <c r="BY88" s="157"/>
      <c r="BZ88" s="156"/>
      <c r="CA88" s="155"/>
      <c r="CB88" s="155"/>
      <c r="CC88" s="155"/>
      <c r="CD88" s="155"/>
      <c r="CE88" s="156"/>
      <c r="CF88" s="155"/>
      <c r="CG88" s="155"/>
      <c r="CH88" s="155"/>
      <c r="CI88" s="155"/>
      <c r="CJ88" s="156"/>
      <c r="CK88" s="155"/>
      <c r="CL88" s="155"/>
      <c r="CM88" s="155"/>
      <c r="CN88" s="155"/>
      <c r="CO88" s="156"/>
      <c r="CP88" s="155"/>
      <c r="CQ88" s="155"/>
      <c r="CR88" s="155"/>
      <c r="CS88" s="155"/>
      <c r="CT88" s="156"/>
      <c r="CU88" s="155"/>
      <c r="CV88" s="155"/>
      <c r="CW88" s="155"/>
      <c r="CX88" s="155"/>
      <c r="CY88" s="156"/>
      <c r="CZ88" s="157"/>
      <c r="DB88" s="735"/>
      <c r="DC88" s="735"/>
      <c r="DD88" s="802"/>
      <c r="DF88" s="721"/>
      <c r="DG88" s="741"/>
      <c r="DH88" s="741"/>
      <c r="DI88" s="730"/>
      <c r="DJ88" s="730"/>
      <c r="DK88" s="730"/>
      <c r="DL88" s="786"/>
      <c r="DM88" s="786"/>
      <c r="DN88" s="730"/>
      <c r="DU88" s="48"/>
      <c r="DV88" s="48"/>
      <c r="DW88" s="730"/>
      <c r="DX88" s="730"/>
      <c r="DY88" s="730"/>
      <c r="DZ88" s="730"/>
      <c r="EA88" s="730"/>
    </row>
    <row r="89" spans="1:131" collapsed="1" x14ac:dyDescent="0.2">
      <c r="A89" s="80" t="s">
        <v>105</v>
      </c>
      <c r="B89" s="80"/>
      <c r="C89" s="80"/>
      <c r="D89" s="82">
        <v>38352</v>
      </c>
      <c r="E89" s="82">
        <f t="shared" ref="E89:AJ89" si="116">E4</f>
        <v>37861</v>
      </c>
      <c r="F89" s="82">
        <f t="shared" si="116"/>
        <v>37951</v>
      </c>
      <c r="G89" s="82">
        <f t="shared" si="116"/>
        <v>38041</v>
      </c>
      <c r="H89" s="81" t="str">
        <f t="shared" si="116"/>
        <v>FY2004</v>
      </c>
      <c r="I89" s="82">
        <f t="shared" si="116"/>
        <v>38131</v>
      </c>
      <c r="J89" s="82">
        <f t="shared" si="116"/>
        <v>38221</v>
      </c>
      <c r="K89" s="82">
        <f t="shared" si="116"/>
        <v>38311</v>
      </c>
      <c r="L89" s="82">
        <f t="shared" si="116"/>
        <v>38401</v>
      </c>
      <c r="M89" s="81" t="str">
        <f t="shared" si="116"/>
        <v>FY2005</v>
      </c>
      <c r="N89" s="82">
        <f t="shared" si="116"/>
        <v>38491</v>
      </c>
      <c r="O89" s="82">
        <f t="shared" si="116"/>
        <v>38581</v>
      </c>
      <c r="P89" s="82">
        <f t="shared" si="116"/>
        <v>38671</v>
      </c>
      <c r="Q89" s="82">
        <f t="shared" si="116"/>
        <v>38761</v>
      </c>
      <c r="R89" s="81" t="str">
        <f t="shared" si="116"/>
        <v>FY2006</v>
      </c>
      <c r="S89" s="82">
        <f t="shared" si="116"/>
        <v>38851</v>
      </c>
      <c r="T89" s="82">
        <f t="shared" si="116"/>
        <v>38941</v>
      </c>
      <c r="U89" s="82">
        <f t="shared" si="116"/>
        <v>39031</v>
      </c>
      <c r="V89" s="82">
        <f t="shared" si="116"/>
        <v>39121</v>
      </c>
      <c r="W89" s="81" t="str">
        <f t="shared" si="116"/>
        <v>FY2007</v>
      </c>
      <c r="X89" s="82">
        <f t="shared" si="116"/>
        <v>39211</v>
      </c>
      <c r="Y89" s="82">
        <f t="shared" si="116"/>
        <v>39301</v>
      </c>
      <c r="Z89" s="82">
        <f t="shared" si="116"/>
        <v>39391</v>
      </c>
      <c r="AA89" s="82">
        <f t="shared" si="116"/>
        <v>39481</v>
      </c>
      <c r="AB89" s="81" t="str">
        <f t="shared" si="116"/>
        <v>FY2008</v>
      </c>
      <c r="AC89" s="82">
        <f t="shared" si="116"/>
        <v>39571</v>
      </c>
      <c r="AD89" s="82">
        <f t="shared" si="116"/>
        <v>39661</v>
      </c>
      <c r="AE89" s="82">
        <f t="shared" si="116"/>
        <v>39781</v>
      </c>
      <c r="AF89" s="82">
        <f t="shared" si="116"/>
        <v>39871</v>
      </c>
      <c r="AG89" s="81" t="str">
        <f t="shared" si="116"/>
        <v>FY2009</v>
      </c>
      <c r="AH89" s="82">
        <f t="shared" si="116"/>
        <v>39961</v>
      </c>
      <c r="AI89" s="82">
        <f t="shared" si="116"/>
        <v>40051</v>
      </c>
      <c r="AJ89" s="82">
        <f t="shared" si="116"/>
        <v>40141</v>
      </c>
      <c r="AK89" s="82">
        <f t="shared" ref="AK89:BP89" si="117">AK4</f>
        <v>40219</v>
      </c>
      <c r="AL89" s="81" t="str">
        <f t="shared" si="117"/>
        <v>FY2010</v>
      </c>
      <c r="AM89" s="82">
        <f t="shared" si="117"/>
        <v>40309</v>
      </c>
      <c r="AN89" s="82">
        <f t="shared" si="117"/>
        <v>40399</v>
      </c>
      <c r="AO89" s="82">
        <f t="shared" si="117"/>
        <v>40489</v>
      </c>
      <c r="AP89" s="82">
        <f t="shared" si="117"/>
        <v>40585</v>
      </c>
      <c r="AQ89" s="81" t="str">
        <f t="shared" si="117"/>
        <v>FY2011</v>
      </c>
      <c r="AR89" s="82">
        <f t="shared" si="117"/>
        <v>40674</v>
      </c>
      <c r="AS89" s="82">
        <f t="shared" si="117"/>
        <v>40766</v>
      </c>
      <c r="AT89" s="201">
        <f t="shared" si="117"/>
        <v>40858</v>
      </c>
      <c r="AU89" s="82">
        <f t="shared" si="117"/>
        <v>40951</v>
      </c>
      <c r="AV89" s="81" t="str">
        <f t="shared" si="117"/>
        <v>FY2012</v>
      </c>
      <c r="AW89" s="82">
        <f t="shared" si="117"/>
        <v>41041</v>
      </c>
      <c r="AX89" s="82">
        <f t="shared" si="117"/>
        <v>41133</v>
      </c>
      <c r="AY89" s="82">
        <f t="shared" si="117"/>
        <v>41225</v>
      </c>
      <c r="AZ89" s="82">
        <f t="shared" si="117"/>
        <v>41318</v>
      </c>
      <c r="BA89" s="81" t="str">
        <f t="shared" si="117"/>
        <v>FY2013</v>
      </c>
      <c r="BB89" s="82">
        <f t="shared" si="117"/>
        <v>41407</v>
      </c>
      <c r="BC89" s="82">
        <f t="shared" si="117"/>
        <v>41499</v>
      </c>
      <c r="BD89" s="82">
        <f t="shared" si="117"/>
        <v>41591</v>
      </c>
      <c r="BE89" s="82">
        <f t="shared" si="117"/>
        <v>41684</v>
      </c>
      <c r="BF89" s="81" t="str">
        <f t="shared" si="117"/>
        <v>FY2014</v>
      </c>
      <c r="BG89" s="82">
        <f t="shared" si="117"/>
        <v>41773</v>
      </c>
      <c r="BH89" s="82">
        <f t="shared" si="117"/>
        <v>41865</v>
      </c>
      <c r="BI89" s="82">
        <f t="shared" si="117"/>
        <v>41957</v>
      </c>
      <c r="BJ89" s="82">
        <f t="shared" si="117"/>
        <v>42050</v>
      </c>
      <c r="BK89" s="81" t="str">
        <f t="shared" si="117"/>
        <v>FY2015</v>
      </c>
      <c r="BL89" s="82">
        <f t="shared" si="117"/>
        <v>42139</v>
      </c>
      <c r="BM89" s="82">
        <f t="shared" si="117"/>
        <v>42231</v>
      </c>
      <c r="BN89" s="82">
        <f t="shared" si="117"/>
        <v>42323</v>
      </c>
      <c r="BO89" s="82">
        <f t="shared" si="117"/>
        <v>42416</v>
      </c>
      <c r="BP89" s="81" t="str">
        <f t="shared" si="117"/>
        <v>FY2016</v>
      </c>
      <c r="BQ89" s="82">
        <f t="shared" ref="BQ89:CY89" si="118">BQ4</f>
        <v>42506</v>
      </c>
      <c r="BR89" s="82">
        <f t="shared" si="118"/>
        <v>42598</v>
      </c>
      <c r="BS89" s="82">
        <f t="shared" si="118"/>
        <v>42690</v>
      </c>
      <c r="BT89" s="82">
        <f t="shared" si="118"/>
        <v>42783</v>
      </c>
      <c r="BU89" s="81" t="str">
        <f t="shared" si="118"/>
        <v>FY2017</v>
      </c>
      <c r="BV89" s="82">
        <f t="shared" si="118"/>
        <v>42872</v>
      </c>
      <c r="BW89" s="82">
        <f t="shared" si="118"/>
        <v>42964</v>
      </c>
      <c r="BX89" s="82">
        <f t="shared" si="118"/>
        <v>43056</v>
      </c>
      <c r="BY89" s="82">
        <f t="shared" si="118"/>
        <v>43149</v>
      </c>
      <c r="BZ89" s="81" t="str">
        <f t="shared" si="118"/>
        <v>FY2018</v>
      </c>
      <c r="CA89" s="82" t="str">
        <f t="shared" si="118"/>
        <v>May-18 E</v>
      </c>
      <c r="CB89" s="82" t="str">
        <f t="shared" si="118"/>
        <v>Aug-18 E</v>
      </c>
      <c r="CC89" s="82" t="str">
        <f t="shared" si="118"/>
        <v>Nov-18 E</v>
      </c>
      <c r="CD89" s="82" t="str">
        <f t="shared" si="118"/>
        <v>Feb-19 E</v>
      </c>
      <c r="CE89" s="81" t="str">
        <f t="shared" si="118"/>
        <v>FY2019E</v>
      </c>
      <c r="CF89" s="82" t="str">
        <f t="shared" si="118"/>
        <v>May-19 E</v>
      </c>
      <c r="CG89" s="82" t="str">
        <f t="shared" si="118"/>
        <v>Aug-19 E</v>
      </c>
      <c r="CH89" s="82" t="str">
        <f t="shared" si="118"/>
        <v>Nov-19 E</v>
      </c>
      <c r="CI89" s="82" t="str">
        <f t="shared" si="118"/>
        <v>Feb-20 E</v>
      </c>
      <c r="CJ89" s="81" t="str">
        <f t="shared" si="118"/>
        <v>FY2020E</v>
      </c>
      <c r="CK89" s="82" t="str">
        <f t="shared" si="118"/>
        <v>May-20 E</v>
      </c>
      <c r="CL89" s="82" t="str">
        <f t="shared" si="118"/>
        <v>Aug-20 E</v>
      </c>
      <c r="CM89" s="82" t="str">
        <f t="shared" si="118"/>
        <v>Nov-20 E</v>
      </c>
      <c r="CN89" s="82" t="str">
        <f t="shared" si="118"/>
        <v>Feb-21 E</v>
      </c>
      <c r="CO89" s="81" t="str">
        <f t="shared" si="118"/>
        <v>FY2021E</v>
      </c>
      <c r="CP89" s="82" t="str">
        <f t="shared" si="118"/>
        <v>May-21 E</v>
      </c>
      <c r="CQ89" s="82" t="str">
        <f t="shared" si="118"/>
        <v>Aug-21 E</v>
      </c>
      <c r="CR89" s="82" t="str">
        <f t="shared" si="118"/>
        <v>Nov-21 E</v>
      </c>
      <c r="CS89" s="82" t="str">
        <f t="shared" si="118"/>
        <v>Feb-22 E</v>
      </c>
      <c r="CT89" s="81" t="str">
        <f t="shared" si="118"/>
        <v>FY2022E</v>
      </c>
      <c r="CU89" s="82" t="str">
        <f t="shared" si="118"/>
        <v>May-22 E</v>
      </c>
      <c r="CV89" s="82" t="str">
        <f t="shared" si="118"/>
        <v>Aug-22 E</v>
      </c>
      <c r="CW89" s="82" t="str">
        <f t="shared" si="118"/>
        <v>Nov-22 E</v>
      </c>
      <c r="CX89" s="82" t="str">
        <f t="shared" si="118"/>
        <v>Feb-23 E</v>
      </c>
      <c r="CY89" s="81" t="str">
        <f t="shared" si="118"/>
        <v>FY2023E</v>
      </c>
      <c r="CZ89" s="202"/>
      <c r="DA89" s="7"/>
      <c r="DB89" s="376"/>
      <c r="DC89" s="376"/>
      <c r="DD89" s="7"/>
      <c r="DE89" s="734"/>
      <c r="DF89" s="7"/>
      <c r="DG89" s="376"/>
      <c r="DH89" s="376"/>
      <c r="DI89" s="733"/>
      <c r="DJ89" s="733"/>
      <c r="DK89" s="733"/>
      <c r="DL89" s="822"/>
      <c r="DM89" s="822"/>
      <c r="DN89" s="733"/>
      <c r="DU89" s="78"/>
      <c r="DV89" s="78"/>
      <c r="DW89" s="733"/>
      <c r="DX89" s="733"/>
      <c r="DY89" s="733"/>
      <c r="DZ89" s="733"/>
      <c r="EA89" s="733"/>
    </row>
    <row r="90" spans="1:131" x14ac:dyDescent="0.2">
      <c r="A90" s="48"/>
      <c r="B90" s="48"/>
      <c r="C90" s="48"/>
      <c r="D90" s="63"/>
      <c r="E90" s="63"/>
      <c r="F90" s="56"/>
      <c r="G90" s="56"/>
      <c r="H90" s="101"/>
      <c r="I90" s="56"/>
      <c r="J90" s="56"/>
      <c r="K90" s="56"/>
      <c r="L90" s="56"/>
      <c r="M90" s="101"/>
      <c r="N90" s="56"/>
      <c r="O90" s="56"/>
      <c r="P90" s="56"/>
      <c r="Q90" s="56"/>
      <c r="R90" s="191"/>
      <c r="S90" s="56"/>
      <c r="T90" s="56"/>
      <c r="U90" s="56"/>
      <c r="V90" s="56"/>
      <c r="W90" s="191"/>
      <c r="X90" s="56"/>
      <c r="Y90" s="56"/>
      <c r="Z90" s="56"/>
      <c r="AA90" s="139"/>
      <c r="AB90" s="199"/>
      <c r="AC90" s="56"/>
      <c r="AD90" s="56"/>
      <c r="AE90" s="56"/>
      <c r="AF90" s="56"/>
      <c r="AG90" s="199"/>
      <c r="AH90" s="56"/>
      <c r="AI90" s="56"/>
      <c r="AJ90" s="56"/>
      <c r="AK90" s="56"/>
      <c r="AL90" s="101"/>
      <c r="AM90" s="56"/>
      <c r="AN90" s="56"/>
      <c r="AO90" s="56"/>
      <c r="AP90" s="139"/>
      <c r="AQ90" s="101"/>
      <c r="AR90" s="56"/>
      <c r="AS90" s="56"/>
      <c r="AT90" s="103"/>
      <c r="AU90" s="56"/>
      <c r="AV90" s="101"/>
      <c r="AW90" s="56"/>
      <c r="AX90" s="56"/>
      <c r="AY90" s="56"/>
      <c r="AZ90" s="56"/>
      <c r="BA90" s="101"/>
      <c r="BB90" s="56"/>
      <c r="BC90" s="56"/>
      <c r="BD90" s="56"/>
      <c r="BE90" s="56"/>
      <c r="BF90" s="101"/>
      <c r="BG90" s="56"/>
      <c r="BH90" s="56"/>
      <c r="BI90" s="56"/>
      <c r="BJ90" s="56"/>
      <c r="BK90" s="101"/>
      <c r="BL90" s="56"/>
      <c r="BM90" s="56"/>
      <c r="BN90" s="56"/>
      <c r="BO90" s="56"/>
      <c r="BP90" s="101"/>
      <c r="BQ90" s="56"/>
      <c r="BR90" s="56"/>
      <c r="BS90" s="88"/>
      <c r="BT90" s="56"/>
      <c r="BU90" s="530"/>
      <c r="BV90" s="603"/>
      <c r="BW90" s="397"/>
      <c r="BX90" s="90"/>
      <c r="BY90" s="90"/>
      <c r="BZ90" s="199"/>
      <c r="CA90" s="90"/>
      <c r="CB90" s="90"/>
      <c r="CC90" s="90"/>
      <c r="CD90" s="90"/>
      <c r="CE90" s="199"/>
      <c r="CF90" s="56"/>
      <c r="CG90" s="56"/>
      <c r="CH90" s="56"/>
      <c r="CI90" s="56"/>
      <c r="CJ90" s="101"/>
      <c r="CK90" s="56"/>
      <c r="CL90" s="56"/>
      <c r="CM90" s="56"/>
      <c r="CN90" s="56"/>
      <c r="CO90" s="101"/>
      <c r="CP90" s="56"/>
      <c r="CQ90" s="56"/>
      <c r="CR90" s="56"/>
      <c r="CS90" s="56"/>
      <c r="CT90" s="101"/>
      <c r="CU90" s="56"/>
      <c r="CV90" s="56"/>
      <c r="CW90" s="56"/>
      <c r="CX90" s="56"/>
      <c r="CY90" s="101"/>
      <c r="CZ90" s="103"/>
      <c r="DB90" s="9"/>
      <c r="DC90" s="9"/>
      <c r="DD90" s="564"/>
      <c r="DG90" s="9"/>
      <c r="DH90" s="9"/>
      <c r="DI90" s="730"/>
      <c r="DJ90" s="730"/>
      <c r="DK90" s="730"/>
      <c r="DL90" s="730"/>
      <c r="DM90" s="730"/>
      <c r="DN90" s="730"/>
      <c r="DU90" s="48"/>
      <c r="DV90" s="48"/>
      <c r="DW90" s="730"/>
      <c r="DX90" s="730"/>
      <c r="DY90" s="730"/>
      <c r="DZ90" s="730"/>
      <c r="EA90" s="730"/>
    </row>
    <row r="91" spans="1:131" x14ac:dyDescent="0.2">
      <c r="A91" s="78" t="s">
        <v>106</v>
      </c>
      <c r="B91" s="78"/>
      <c r="C91" s="48"/>
      <c r="D91" s="62"/>
      <c r="E91" s="62"/>
      <c r="F91" s="119"/>
      <c r="G91" s="119"/>
      <c r="H91" s="101"/>
      <c r="I91" s="119"/>
      <c r="J91" s="119"/>
      <c r="K91" s="119"/>
      <c r="L91" s="119"/>
      <c r="M91" s="101"/>
      <c r="N91" s="119"/>
      <c r="O91" s="119"/>
      <c r="P91" s="119"/>
      <c r="Q91" s="119"/>
      <c r="R91" s="101"/>
      <c r="S91" s="119"/>
      <c r="T91" s="119"/>
      <c r="U91" s="119"/>
      <c r="V91" s="119"/>
      <c r="W91" s="101"/>
      <c r="X91" s="119"/>
      <c r="Y91" s="119"/>
      <c r="Z91" s="119"/>
      <c r="AA91" s="119"/>
      <c r="AB91" s="101"/>
      <c r="AC91" s="119"/>
      <c r="AD91" s="119"/>
      <c r="AE91" s="119"/>
      <c r="AF91" s="119"/>
      <c r="AG91" s="101"/>
      <c r="AH91" s="119"/>
      <c r="AI91" s="119"/>
      <c r="AJ91" s="119"/>
      <c r="AK91" s="119"/>
      <c r="AL91" s="101"/>
      <c r="AM91" s="119"/>
      <c r="AN91" s="119"/>
      <c r="AO91" s="119"/>
      <c r="AP91" s="119"/>
      <c r="AQ91" s="101"/>
      <c r="AR91" s="119"/>
      <c r="AS91" s="119"/>
      <c r="AT91" s="142"/>
      <c r="AU91" s="119"/>
      <c r="AV91" s="101"/>
      <c r="AW91" s="119"/>
      <c r="AX91" s="119"/>
      <c r="AY91" s="119"/>
      <c r="AZ91" s="119"/>
      <c r="BA91" s="101"/>
      <c r="BB91" s="119"/>
      <c r="BC91" s="119"/>
      <c r="BD91" s="119"/>
      <c r="BE91" s="119"/>
      <c r="BF91" s="101"/>
      <c r="BG91" s="119"/>
      <c r="BH91" s="119"/>
      <c r="BI91" s="119"/>
      <c r="BJ91" s="119"/>
      <c r="BK91" s="101"/>
      <c r="BL91" s="119"/>
      <c r="BM91" s="119"/>
      <c r="BN91" s="119"/>
      <c r="BO91" s="119"/>
      <c r="BP91" s="234"/>
      <c r="BQ91" s="119"/>
      <c r="BR91" s="119"/>
      <c r="BS91" s="119"/>
      <c r="BT91" s="577"/>
      <c r="BU91" s="234"/>
      <c r="BV91" s="604"/>
      <c r="BW91" s="88"/>
      <c r="BX91" s="604"/>
      <c r="BY91" s="604"/>
      <c r="BZ91" s="199"/>
      <c r="CA91" s="88"/>
      <c r="CB91" s="88"/>
      <c r="CC91" s="88"/>
      <c r="CD91" s="88"/>
      <c r="CE91" s="199"/>
      <c r="CF91" s="88"/>
      <c r="CG91" s="119"/>
      <c r="CH91" s="119"/>
      <c r="CI91" s="119"/>
      <c r="CJ91" s="101"/>
      <c r="CK91" s="119"/>
      <c r="CL91" s="119"/>
      <c r="CM91" s="119"/>
      <c r="CN91" s="119"/>
      <c r="CO91" s="101"/>
      <c r="CP91" s="119"/>
      <c r="CQ91" s="119"/>
      <c r="CR91" s="119"/>
      <c r="CS91" s="119"/>
      <c r="CT91" s="101"/>
      <c r="CU91" s="119"/>
      <c r="CV91" s="119"/>
      <c r="CW91" s="119"/>
      <c r="CX91" s="119"/>
      <c r="CY91" s="101"/>
      <c r="CZ91" s="103"/>
      <c r="DA91" s="823"/>
      <c r="DB91" s="824"/>
      <c r="DC91" s="308"/>
      <c r="DE91" s="717"/>
      <c r="DG91" s="735"/>
      <c r="DH91" s="735"/>
      <c r="DI91" s="730"/>
      <c r="DJ91" s="730"/>
      <c r="DK91" s="730"/>
      <c r="DL91" s="730"/>
      <c r="DM91" s="730"/>
      <c r="DN91" s="730"/>
      <c r="DU91" s="48"/>
      <c r="DV91" s="48"/>
      <c r="DW91" s="730"/>
      <c r="DX91" s="730"/>
      <c r="DY91" s="730"/>
      <c r="DZ91" s="730"/>
      <c r="EA91" s="730"/>
    </row>
    <row r="92" spans="1:131" x14ac:dyDescent="0.2">
      <c r="A92" s="48" t="s">
        <v>107</v>
      </c>
      <c r="B92" s="48"/>
      <c r="C92" s="48"/>
      <c r="D92" s="104">
        <v>0</v>
      </c>
      <c r="E92" s="104">
        <v>0</v>
      </c>
      <c r="F92" s="104">
        <v>0</v>
      </c>
      <c r="G92" s="104">
        <v>0</v>
      </c>
      <c r="H92" s="105">
        <f>+G92</f>
        <v>0</v>
      </c>
      <c r="I92" s="104">
        <v>0</v>
      </c>
      <c r="J92" s="104">
        <v>0</v>
      </c>
      <c r="K92" s="104">
        <v>0</v>
      </c>
      <c r="L92" s="104">
        <v>0</v>
      </c>
      <c r="M92" s="105">
        <f>+L92</f>
        <v>0</v>
      </c>
      <c r="N92" s="104">
        <v>0</v>
      </c>
      <c r="O92" s="104">
        <v>0</v>
      </c>
      <c r="P92" s="108">
        <v>0</v>
      </c>
      <c r="Q92" s="104">
        <v>0</v>
      </c>
      <c r="R92" s="105">
        <f>+Q92</f>
        <v>0</v>
      </c>
      <c r="S92" s="104">
        <v>0</v>
      </c>
      <c r="T92" s="104">
        <v>0</v>
      </c>
      <c r="U92" s="104">
        <v>0</v>
      </c>
      <c r="V92" s="104">
        <v>0</v>
      </c>
      <c r="W92" s="105">
        <f>+V92</f>
        <v>0</v>
      </c>
      <c r="X92" s="104">
        <v>0</v>
      </c>
      <c r="Y92" s="104">
        <v>0</v>
      </c>
      <c r="Z92" s="104">
        <v>0</v>
      </c>
      <c r="AA92" s="108">
        <f>+AB92</f>
        <v>0</v>
      </c>
      <c r="AB92" s="105">
        <v>0</v>
      </c>
      <c r="AC92" s="104">
        <v>0</v>
      </c>
      <c r="AD92" s="104">
        <v>0</v>
      </c>
      <c r="AE92" s="104">
        <v>0</v>
      </c>
      <c r="AF92" s="108">
        <f>+AG92</f>
        <v>0</v>
      </c>
      <c r="AG92" s="105">
        <v>0</v>
      </c>
      <c r="AH92" s="108">
        <f>+AI92</f>
        <v>0</v>
      </c>
      <c r="AI92" s="104">
        <v>0</v>
      </c>
      <c r="AJ92" s="104">
        <v>0</v>
      </c>
      <c r="AK92" s="108">
        <v>0</v>
      </c>
      <c r="AL92" s="105">
        <v>0</v>
      </c>
      <c r="AM92" s="104">
        <v>0</v>
      </c>
      <c r="AN92" s="104">
        <v>0</v>
      </c>
      <c r="AO92" s="104">
        <v>0</v>
      </c>
      <c r="AP92" s="104">
        <f>MAX(0,(-(AP93+AP94+AP95+AP96+AP99+AP100+AP101)+AP107+AP106+AP108+AP111+AP112+AP113+AP117+AP118+AP119+AP120+AP121+AP122))</f>
        <v>0</v>
      </c>
      <c r="AQ92" s="105">
        <f>AP92</f>
        <v>0</v>
      </c>
      <c r="AR92" s="104">
        <v>0</v>
      </c>
      <c r="AS92" s="104">
        <v>0</v>
      </c>
      <c r="AT92" s="106">
        <v>0</v>
      </c>
      <c r="AU92" s="106">
        <v>0</v>
      </c>
      <c r="AV92" s="105">
        <f>MAX(0,(-(AV93+AV94+AV95+AV96+AV99+AV100+AV101)+AV107+AV106+AV108+AV111+AV112+AV113+AV117+AV118+AV119+AV120+AV121+AV122))</f>
        <v>0</v>
      </c>
      <c r="AW92" s="104">
        <v>0</v>
      </c>
      <c r="AX92" s="104">
        <v>0</v>
      </c>
      <c r="AY92" s="104">
        <v>0</v>
      </c>
      <c r="AZ92" s="104">
        <v>0</v>
      </c>
      <c r="BA92" s="105">
        <f>MAX(0,(-(BA93+BA94+BA95+BA96+BA99+BA100+BA101)+BA107+BA106+BA108+BA111+BA112+BA113+BA117+BA118+BA119+BA120+BA121+BA122))</f>
        <v>0</v>
      </c>
      <c r="BB92" s="104">
        <v>0</v>
      </c>
      <c r="BC92" s="104">
        <v>0</v>
      </c>
      <c r="BD92" s="104">
        <v>0</v>
      </c>
      <c r="BE92" s="135">
        <v>0</v>
      </c>
      <c r="BF92" s="105">
        <f>MAX(0,(-(BF93+BF94+BF95+BF96+BF99+BF100+BF101)+BF107+BF106+BF108+BF111+BF112+BF113+BF117+BF118+BF119+BF120+BF121+BF122))</f>
        <v>0</v>
      </c>
      <c r="BG92" s="104">
        <v>0</v>
      </c>
      <c r="BH92" s="104">
        <v>0</v>
      </c>
      <c r="BI92" s="104">
        <v>0</v>
      </c>
      <c r="BJ92" s="108">
        <v>0</v>
      </c>
      <c r="BK92" s="105">
        <f>MAX(0,(-(BK93+BK94+BK95+BK96+BK99+BK100+BK101)+BK107+BK106+BK108+BK111+BK112+BK113+BK117+BK118+BK119+BK120+BK121+BK122))</f>
        <v>0</v>
      </c>
      <c r="BL92" s="108">
        <v>0</v>
      </c>
      <c r="BM92" s="108">
        <v>0</v>
      </c>
      <c r="BN92" s="108">
        <f>MAX(0,(-(BN93+BN94+BN95+BN96+BN99+BN100+BN101)+BN107+BN106+BN108+BN111+BN112+BN113+BN117+BN118+BN119+BN120+BN121+BN122+BN123))</f>
        <v>0</v>
      </c>
      <c r="BO92" s="562">
        <v>0</v>
      </c>
      <c r="BP92" s="105">
        <f t="shared" ref="BP92:BU92" si="119">MAX(0,(-(BP93+BP94+BP95+BP96+BP99+BP100+BP101)+BP107+BP106+BP108+BP111+BP112+BP113+BP117+BP118+BP119+BP120+BP121+BP122+BP123))</f>
        <v>0</v>
      </c>
      <c r="BQ92" s="562">
        <v>0</v>
      </c>
      <c r="BR92" s="104">
        <v>0</v>
      </c>
      <c r="BS92" s="562">
        <v>0</v>
      </c>
      <c r="BT92" s="562">
        <f t="shared" si="119"/>
        <v>0</v>
      </c>
      <c r="BU92" s="105">
        <f t="shared" si="119"/>
        <v>0</v>
      </c>
      <c r="BV92" s="562">
        <v>0</v>
      </c>
      <c r="BW92" s="562">
        <v>0</v>
      </c>
      <c r="BX92" s="562">
        <v>0</v>
      </c>
      <c r="BY92" s="562">
        <f t="shared" ref="BY92:CY92" si="120">MAX(0,(-(BY93+BY94+BY95+BY96+BY99+BY100+BY101)+BY107+BY106+BY108+BY111+BY112+BY113+BY117+BY118+BY119+BY120+BY121+BY122+BY123))</f>
        <v>0</v>
      </c>
      <c r="BZ92" s="105">
        <f t="shared" si="120"/>
        <v>0</v>
      </c>
      <c r="CA92" s="104">
        <f t="shared" ca="1" si="120"/>
        <v>0</v>
      </c>
      <c r="CB92" s="104">
        <f t="shared" ca="1" si="120"/>
        <v>0</v>
      </c>
      <c r="CC92" s="104">
        <f t="shared" ca="1" si="120"/>
        <v>0</v>
      </c>
      <c r="CD92" s="104">
        <f t="shared" ca="1" si="120"/>
        <v>0</v>
      </c>
      <c r="CE92" s="105">
        <f t="shared" ca="1" si="120"/>
        <v>0</v>
      </c>
      <c r="CF92" s="104">
        <f t="shared" ca="1" si="120"/>
        <v>0</v>
      </c>
      <c r="CG92" s="104">
        <f t="shared" ca="1" si="120"/>
        <v>0</v>
      </c>
      <c r="CH92" s="104">
        <f t="shared" ca="1" si="120"/>
        <v>0</v>
      </c>
      <c r="CI92" s="104">
        <f t="shared" ca="1" si="120"/>
        <v>0</v>
      </c>
      <c r="CJ92" s="105">
        <f t="shared" ca="1" si="120"/>
        <v>0</v>
      </c>
      <c r="CK92" s="104">
        <f t="shared" ca="1" si="120"/>
        <v>0</v>
      </c>
      <c r="CL92" s="104">
        <f t="shared" ca="1" si="120"/>
        <v>0</v>
      </c>
      <c r="CM92" s="104">
        <f t="shared" ca="1" si="120"/>
        <v>0</v>
      </c>
      <c r="CN92" s="104">
        <f t="shared" ca="1" si="120"/>
        <v>0</v>
      </c>
      <c r="CO92" s="105">
        <f t="shared" ca="1" si="120"/>
        <v>0</v>
      </c>
      <c r="CP92" s="104">
        <f t="shared" ca="1" si="120"/>
        <v>0</v>
      </c>
      <c r="CQ92" s="104">
        <f t="shared" ca="1" si="120"/>
        <v>0</v>
      </c>
      <c r="CR92" s="104">
        <f t="shared" ca="1" si="120"/>
        <v>0</v>
      </c>
      <c r="CS92" s="104">
        <f t="shared" ca="1" si="120"/>
        <v>0</v>
      </c>
      <c r="CT92" s="105">
        <f t="shared" ca="1" si="120"/>
        <v>0</v>
      </c>
      <c r="CU92" s="104">
        <f t="shared" ca="1" si="120"/>
        <v>0</v>
      </c>
      <c r="CV92" s="104">
        <f t="shared" ca="1" si="120"/>
        <v>0</v>
      </c>
      <c r="CW92" s="104">
        <f t="shared" ca="1" si="120"/>
        <v>0</v>
      </c>
      <c r="CX92" s="104">
        <f t="shared" ca="1" si="120"/>
        <v>0</v>
      </c>
      <c r="CY92" s="105">
        <f t="shared" ca="1" si="120"/>
        <v>0</v>
      </c>
      <c r="CZ92" s="106"/>
      <c r="DA92" s="823"/>
      <c r="DB92" s="824"/>
      <c r="DC92" s="729"/>
      <c r="DG92" s="308"/>
      <c r="DH92" s="308"/>
      <c r="DI92" s="730"/>
      <c r="DJ92" s="730"/>
      <c r="DK92" s="730"/>
      <c r="DL92" s="730"/>
      <c r="DM92" s="730"/>
      <c r="DN92" s="730"/>
      <c r="DU92" s="48"/>
      <c r="DV92" s="48"/>
      <c r="DW92" s="730"/>
      <c r="DX92" s="730"/>
      <c r="DY92" s="730"/>
      <c r="DZ92" s="730"/>
      <c r="EA92" s="730"/>
    </row>
    <row r="93" spans="1:131" x14ac:dyDescent="0.2">
      <c r="A93" s="48" t="s">
        <v>108</v>
      </c>
      <c r="B93" s="48"/>
      <c r="C93" s="48"/>
      <c r="D93" s="108">
        <v>46.008000000000003</v>
      </c>
      <c r="E93" s="108">
        <v>47.465000000000003</v>
      </c>
      <c r="F93" s="108">
        <v>38.375</v>
      </c>
      <c r="G93" s="108">
        <v>37.136000000000003</v>
      </c>
      <c r="H93" s="105">
        <f>+G93</f>
        <v>37.136000000000003</v>
      </c>
      <c r="I93" s="108">
        <v>11.443</v>
      </c>
      <c r="J93" s="108">
        <v>9.7680000000000007</v>
      </c>
      <c r="K93" s="108">
        <v>12.754</v>
      </c>
      <c r="L93" s="108">
        <v>17.635000000000002</v>
      </c>
      <c r="M93" s="105">
        <f>+L93</f>
        <v>17.635000000000002</v>
      </c>
      <c r="N93" s="108">
        <v>19.184000000000001</v>
      </c>
      <c r="O93" s="108">
        <v>18.667000000000002</v>
      </c>
      <c r="P93" s="108">
        <v>26.373999999999999</v>
      </c>
      <c r="Q93" s="108">
        <v>10.878</v>
      </c>
      <c r="R93" s="105">
        <f>+Q93</f>
        <v>10.878</v>
      </c>
      <c r="S93" s="108">
        <v>37.5</v>
      </c>
      <c r="T93" s="108">
        <v>42.2</v>
      </c>
      <c r="U93" s="108">
        <v>34.700000000000003</v>
      </c>
      <c r="V93" s="108">
        <v>33.5</v>
      </c>
      <c r="W93" s="105">
        <f>+V93</f>
        <v>33.5</v>
      </c>
      <c r="X93" s="108">
        <v>33.5</v>
      </c>
      <c r="Y93" s="108">
        <v>33.200000000000003</v>
      </c>
      <c r="Z93" s="108">
        <v>24.9</v>
      </c>
      <c r="AA93" s="108">
        <f>+AB93</f>
        <v>20.5</v>
      </c>
      <c r="AB93" s="105">
        <v>20.5</v>
      </c>
      <c r="AC93" s="108">
        <v>25.2</v>
      </c>
      <c r="AD93" s="108">
        <v>24.9</v>
      </c>
      <c r="AE93" s="108">
        <v>181.3</v>
      </c>
      <c r="AF93" s="108">
        <f>+AG93</f>
        <v>13.1</v>
      </c>
      <c r="AG93" s="105">
        <v>13.1</v>
      </c>
      <c r="AH93" s="108">
        <v>16.8</v>
      </c>
      <c r="AI93" s="108">
        <v>19.7</v>
      </c>
      <c r="AJ93" s="108">
        <v>50.3</v>
      </c>
      <c r="AK93" s="108">
        <v>43.5</v>
      </c>
      <c r="AL93" s="105">
        <f>AK93</f>
        <v>43.5</v>
      </c>
      <c r="AM93" s="108">
        <v>20.9</v>
      </c>
      <c r="AN93" s="108">
        <v>13.9</v>
      </c>
      <c r="AO93" s="104">
        <v>16</v>
      </c>
      <c r="AP93" s="104">
        <v>9.1999999999999993</v>
      </c>
      <c r="AQ93" s="105">
        <f>AP93</f>
        <v>9.1999999999999993</v>
      </c>
      <c r="AR93" s="108">
        <v>13.4</v>
      </c>
      <c r="AS93" s="108">
        <v>10</v>
      </c>
      <c r="AT93" s="135">
        <v>55.8</v>
      </c>
      <c r="AU93" s="135">
        <v>85.8</v>
      </c>
      <c r="AV93" s="105">
        <f>AU93</f>
        <v>85.8</v>
      </c>
      <c r="AW93" s="135">
        <v>69.099999999999994</v>
      </c>
      <c r="AX93" s="135">
        <f>178.5</f>
        <v>178.5</v>
      </c>
      <c r="AY93" s="135">
        <v>200.5</v>
      </c>
      <c r="AZ93" s="135">
        <v>331.5</v>
      </c>
      <c r="BA93" s="105">
        <f>AZ93</f>
        <v>331.5</v>
      </c>
      <c r="BB93" s="135">
        <v>609.29999999999995</v>
      </c>
      <c r="BC93" s="135">
        <v>116.8</v>
      </c>
      <c r="BD93" s="135">
        <v>65.2</v>
      </c>
      <c r="BE93" s="135">
        <v>63.9</v>
      </c>
      <c r="BF93" s="105">
        <f>BE93</f>
        <v>63.9</v>
      </c>
      <c r="BG93" s="108">
        <v>378</v>
      </c>
      <c r="BH93" s="108">
        <v>104.3</v>
      </c>
      <c r="BI93" s="108">
        <v>67.3</v>
      </c>
      <c r="BJ93" s="108">
        <v>110.1</v>
      </c>
      <c r="BK93" s="105">
        <f>BJ93</f>
        <v>110.1</v>
      </c>
      <c r="BL93" s="108">
        <v>130.69999999999999</v>
      </c>
      <c r="BM93" s="108">
        <v>329.7</v>
      </c>
      <c r="BN93" s="108">
        <v>491.3</v>
      </c>
      <c r="BO93" s="562">
        <v>83.1</v>
      </c>
      <c r="BP93" s="105">
        <f>BO93</f>
        <v>83.1</v>
      </c>
      <c r="BQ93" s="562">
        <v>167.3</v>
      </c>
      <c r="BR93" s="562">
        <v>177.3</v>
      </c>
      <c r="BS93" s="562">
        <v>197.3</v>
      </c>
      <c r="BT93" s="562">
        <v>177.4</v>
      </c>
      <c r="BU93" s="105">
        <f>BT93</f>
        <v>177.4</v>
      </c>
      <c r="BV93" s="562">
        <v>199.1</v>
      </c>
      <c r="BW93" s="562">
        <v>125.6</v>
      </c>
      <c r="BX93" s="562">
        <v>154.5</v>
      </c>
      <c r="BY93" s="562">
        <v>90.3</v>
      </c>
      <c r="BZ93" s="105">
        <f>BY93</f>
        <v>90.3</v>
      </c>
      <c r="CA93" s="136">
        <f>+BY93</f>
        <v>90.3</v>
      </c>
      <c r="CB93" s="136">
        <f>+CA93</f>
        <v>90.3</v>
      </c>
      <c r="CC93" s="136">
        <f>+CB93</f>
        <v>90.3</v>
      </c>
      <c r="CD93" s="136">
        <f>+CC93</f>
        <v>90.3</v>
      </c>
      <c r="CE93" s="105">
        <f>CD93</f>
        <v>90.3</v>
      </c>
      <c r="CF93" s="136">
        <f>+CD93</f>
        <v>90.3</v>
      </c>
      <c r="CG93" s="136">
        <f>+CF93</f>
        <v>90.3</v>
      </c>
      <c r="CH93" s="136">
        <f>+CG93</f>
        <v>90.3</v>
      </c>
      <c r="CI93" s="136">
        <f>+CH93</f>
        <v>90.3</v>
      </c>
      <c r="CJ93" s="105">
        <f>CI93</f>
        <v>90.3</v>
      </c>
      <c r="CK93" s="136">
        <f>+CI93</f>
        <v>90.3</v>
      </c>
      <c r="CL93" s="136">
        <f>+CK93</f>
        <v>90.3</v>
      </c>
      <c r="CM93" s="136">
        <f>+CL93</f>
        <v>90.3</v>
      </c>
      <c r="CN93" s="136">
        <f>+CM93</f>
        <v>90.3</v>
      </c>
      <c r="CO93" s="105">
        <f>CN93</f>
        <v>90.3</v>
      </c>
      <c r="CP93" s="136">
        <f>+CN93</f>
        <v>90.3</v>
      </c>
      <c r="CQ93" s="136">
        <f>+CP93</f>
        <v>90.3</v>
      </c>
      <c r="CR93" s="136">
        <f>+CQ93</f>
        <v>90.3</v>
      </c>
      <c r="CS93" s="136">
        <f>+CR93</f>
        <v>90.3</v>
      </c>
      <c r="CT93" s="105">
        <f>CS93</f>
        <v>90.3</v>
      </c>
      <c r="CU93" s="136">
        <f>+CS93</f>
        <v>90.3</v>
      </c>
      <c r="CV93" s="136">
        <f>+CU93</f>
        <v>90.3</v>
      </c>
      <c r="CW93" s="136">
        <f>+CV93</f>
        <v>90.3</v>
      </c>
      <c r="CX93" s="136">
        <f>+CW93</f>
        <v>90.3</v>
      </c>
      <c r="CY93" s="105">
        <f>CX93</f>
        <v>90.3</v>
      </c>
      <c r="CZ93" s="106"/>
      <c r="DA93" s="490"/>
      <c r="DB93" s="308"/>
      <c r="DC93" s="825"/>
      <c r="DD93" s="748"/>
      <c r="DE93" s="722"/>
      <c r="DF93" s="490"/>
      <c r="DG93" s="308"/>
      <c r="DH93" s="308"/>
      <c r="DI93" s="773"/>
      <c r="DJ93" s="730"/>
      <c r="DK93" s="730"/>
      <c r="DL93" s="730"/>
      <c r="DM93" s="730"/>
      <c r="DN93" s="730"/>
      <c r="DU93" s="48"/>
      <c r="DV93" s="48"/>
      <c r="DW93" s="730"/>
      <c r="DX93" s="730"/>
      <c r="DY93" s="730"/>
      <c r="DZ93" s="730"/>
      <c r="EA93" s="730"/>
    </row>
    <row r="94" spans="1:131" x14ac:dyDescent="0.2">
      <c r="A94" s="48" t="s">
        <v>109</v>
      </c>
      <c r="B94" s="48"/>
      <c r="C94" s="48"/>
      <c r="D94" s="104">
        <v>566.34799999999996</v>
      </c>
      <c r="E94" s="104">
        <v>615.47</v>
      </c>
      <c r="F94" s="104">
        <v>768.096</v>
      </c>
      <c r="G94" s="104">
        <v>635.91</v>
      </c>
      <c r="H94" s="105">
        <f>+G94</f>
        <v>635.91</v>
      </c>
      <c r="I94" s="104">
        <v>711.84699999999998</v>
      </c>
      <c r="J94" s="104">
        <v>789.08100000000002</v>
      </c>
      <c r="K94" s="104">
        <v>906.31700000000001</v>
      </c>
      <c r="L94" s="104">
        <v>849.64200000000005</v>
      </c>
      <c r="M94" s="105">
        <f>+L94</f>
        <v>849.64200000000005</v>
      </c>
      <c r="N94" s="104">
        <v>822.22299999999996</v>
      </c>
      <c r="O94" s="104">
        <v>890.63900000000001</v>
      </c>
      <c r="P94" s="108">
        <v>969.52800000000002</v>
      </c>
      <c r="Q94" s="108">
        <v>771.875</v>
      </c>
      <c r="R94" s="105">
        <f>+Q94</f>
        <v>771.875</v>
      </c>
      <c r="S94" s="108">
        <v>854.2</v>
      </c>
      <c r="T94" s="108">
        <v>1022.4</v>
      </c>
      <c r="U94" s="108">
        <v>1159.5999999999999</v>
      </c>
      <c r="V94" s="108">
        <v>881</v>
      </c>
      <c r="W94" s="105">
        <f>+V94</f>
        <v>881</v>
      </c>
      <c r="X94" s="108">
        <v>763.9</v>
      </c>
      <c r="Y94" s="108">
        <v>784.5</v>
      </c>
      <c r="Z94" s="108">
        <v>938.5</v>
      </c>
      <c r="AA94" s="108">
        <f>+AB94</f>
        <v>731.6</v>
      </c>
      <c r="AB94" s="105">
        <v>731.6</v>
      </c>
      <c r="AC94" s="108">
        <v>791.1</v>
      </c>
      <c r="AD94" s="108">
        <v>775.9</v>
      </c>
      <c r="AE94" s="108">
        <v>813.4</v>
      </c>
      <c r="AF94" s="108">
        <f>+AG94</f>
        <v>524.6</v>
      </c>
      <c r="AG94" s="105">
        <v>524.6</v>
      </c>
      <c r="AH94" s="108">
        <v>715.9</v>
      </c>
      <c r="AI94" s="108">
        <v>787.3</v>
      </c>
      <c r="AJ94" s="104">
        <v>901.7</v>
      </c>
      <c r="AK94" s="108">
        <v>514.70000000000005</v>
      </c>
      <c r="AL94" s="105">
        <f>AK94</f>
        <v>514.70000000000005</v>
      </c>
      <c r="AM94" s="104">
        <v>636.5</v>
      </c>
      <c r="AN94" s="104">
        <v>720.7</v>
      </c>
      <c r="AO94" s="104">
        <v>868.9</v>
      </c>
      <c r="AP94" s="104">
        <v>417.4</v>
      </c>
      <c r="AQ94" s="105">
        <f>AP94</f>
        <v>417.4</v>
      </c>
      <c r="AR94" s="104">
        <v>459.3</v>
      </c>
      <c r="AS94" s="104">
        <v>501.7</v>
      </c>
      <c r="AT94" s="106">
        <v>569.20000000000005</v>
      </c>
      <c r="AU94" s="106">
        <v>437.6</v>
      </c>
      <c r="AV94" s="105">
        <f>AU94</f>
        <v>437.6</v>
      </c>
      <c r="AW94" s="104">
        <v>457.8</v>
      </c>
      <c r="AX94" s="108">
        <v>487.1</v>
      </c>
      <c r="AY94" s="108">
        <v>539.1</v>
      </c>
      <c r="AZ94" s="108">
        <v>471.9</v>
      </c>
      <c r="BA94" s="105">
        <f>AZ94</f>
        <v>471.9</v>
      </c>
      <c r="BB94" s="108">
        <v>453.8</v>
      </c>
      <c r="BC94" s="108">
        <v>655.9</v>
      </c>
      <c r="BD94" s="108">
        <v>668.8</v>
      </c>
      <c r="BE94" s="108">
        <v>626.20000000000005</v>
      </c>
      <c r="BF94" s="105">
        <f>BE94</f>
        <v>626.20000000000005</v>
      </c>
      <c r="BG94" s="108">
        <v>651.29999999999995</v>
      </c>
      <c r="BH94" s="108">
        <v>656.9</v>
      </c>
      <c r="BI94" s="108">
        <v>701.3</v>
      </c>
      <c r="BJ94" s="108">
        <v>598.9</v>
      </c>
      <c r="BK94" s="105">
        <f>BJ94</f>
        <v>598.9</v>
      </c>
      <c r="BL94" s="108">
        <v>696.2</v>
      </c>
      <c r="BM94" s="108">
        <v>723.5</v>
      </c>
      <c r="BN94" s="108">
        <v>714.7</v>
      </c>
      <c r="BO94" s="562">
        <v>732.5</v>
      </c>
      <c r="BP94" s="105">
        <f>BO94</f>
        <v>732.5</v>
      </c>
      <c r="BQ94" s="562">
        <v>773.3</v>
      </c>
      <c r="BR94" s="562">
        <v>831.1</v>
      </c>
      <c r="BS94" s="562">
        <v>856</v>
      </c>
      <c r="BT94" s="562">
        <v>737</v>
      </c>
      <c r="BU94" s="105">
        <f>BT94</f>
        <v>737</v>
      </c>
      <c r="BV94" s="562">
        <v>832</v>
      </c>
      <c r="BW94" s="562">
        <v>853.3</v>
      </c>
      <c r="BX94" s="562">
        <v>779.5</v>
      </c>
      <c r="BY94" s="562">
        <v>776.2</v>
      </c>
      <c r="BZ94" s="105">
        <f>BY94</f>
        <v>776.2</v>
      </c>
      <c r="CA94" s="104">
        <f>CA183*4*CA5</f>
        <v>873.51371473587665</v>
      </c>
      <c r="CB94" s="104">
        <f>CB183*4*CB5</f>
        <v>905.95898302033481</v>
      </c>
      <c r="CC94" s="104">
        <f>CC183*4*CC5</f>
        <v>839.75816154078097</v>
      </c>
      <c r="CD94" s="104">
        <f>CD183*4*CD5</f>
        <v>817.60999739505939</v>
      </c>
      <c r="CE94" s="105">
        <f>CD94</f>
        <v>817.60999739505939</v>
      </c>
      <c r="CF94" s="104">
        <f>CF183*4*CF5</f>
        <v>931.67436312035079</v>
      </c>
      <c r="CG94" s="104">
        <f>CG183*4*CG5</f>
        <v>966.11897138847939</v>
      </c>
      <c r="CH94" s="104">
        <f>CH183*4*CH5</f>
        <v>892.04326500461082</v>
      </c>
      <c r="CI94" s="104">
        <f>CI183*4*CI5</f>
        <v>868.14040177405957</v>
      </c>
      <c r="CJ94" s="105">
        <f>CI94</f>
        <v>868.14040177405957</v>
      </c>
      <c r="CK94" s="104">
        <f>CK183*4*CK5</f>
        <v>982.65439269198396</v>
      </c>
      <c r="CL94" s="104">
        <f>CL183*4*CL5</f>
        <v>1018.8717534536548</v>
      </c>
      <c r="CM94" s="104">
        <f>CM183*4*CM5</f>
        <v>938.32973705378504</v>
      </c>
      <c r="CN94" s="104">
        <f>CN183*4*CN5</f>
        <v>912.92405337305809</v>
      </c>
      <c r="CO94" s="105">
        <f>CN94</f>
        <v>912.92405337305809</v>
      </c>
      <c r="CP94" s="104">
        <f>CP183*4*CP5</f>
        <v>1031.5322193096215</v>
      </c>
      <c r="CQ94" s="104">
        <f>CQ183*4*CQ5</f>
        <v>1069.4589157871374</v>
      </c>
      <c r="CR94" s="104">
        <f>CR183*4*CR5</f>
        <v>982.92584898227062</v>
      </c>
      <c r="CS94" s="104">
        <f>CS183*4*CS5</f>
        <v>956.09616390986741</v>
      </c>
      <c r="CT94" s="105">
        <f>CS94</f>
        <v>956.09616390986741</v>
      </c>
      <c r="CU94" s="104">
        <f>CU183*4*CU5</f>
        <v>1078.5913715336724</v>
      </c>
      <c r="CV94" s="104">
        <f>CV183*4*CV5</f>
        <v>1118.1611938869398</v>
      </c>
      <c r="CW94" s="104">
        <f>CW183*4*CW5</f>
        <v>1025.8038157295114</v>
      </c>
      <c r="CX94" s="104">
        <f>CX183*4*CX5</f>
        <v>997.59857695836854</v>
      </c>
      <c r="CY94" s="105">
        <f>CX94</f>
        <v>997.59857695836854</v>
      </c>
      <c r="CZ94" s="106"/>
      <c r="DB94" s="308"/>
      <c r="DC94" s="729"/>
      <c r="DD94" s="748"/>
      <c r="DG94" s="308"/>
      <c r="DH94" s="308"/>
      <c r="DI94" s="773"/>
      <c r="DJ94" s="730"/>
      <c r="DK94" s="730"/>
      <c r="DL94" s="826"/>
      <c r="DM94" s="730"/>
      <c r="DN94" s="730"/>
      <c r="DU94" s="48"/>
      <c r="DV94" s="48"/>
      <c r="DW94" s="730"/>
      <c r="DX94" s="730"/>
      <c r="DY94" s="730"/>
      <c r="DZ94" s="730"/>
      <c r="EA94" s="730"/>
    </row>
    <row r="95" spans="1:131" x14ac:dyDescent="0.2">
      <c r="A95" s="48" t="s">
        <v>110</v>
      </c>
      <c r="B95" s="48"/>
      <c r="C95" s="48"/>
      <c r="D95" s="104">
        <v>1329.1079999999999</v>
      </c>
      <c r="E95" s="104">
        <v>1198.3499999999999</v>
      </c>
      <c r="F95" s="104">
        <v>1291.979</v>
      </c>
      <c r="G95" s="104">
        <v>1261.3779999999999</v>
      </c>
      <c r="H95" s="105">
        <f>+G95</f>
        <v>1261.3779999999999</v>
      </c>
      <c r="I95" s="104">
        <v>1315.356</v>
      </c>
      <c r="J95" s="104">
        <v>1318.748</v>
      </c>
      <c r="K95" s="104">
        <v>1443.43</v>
      </c>
      <c r="L95" s="104">
        <v>1607.7349999999999</v>
      </c>
      <c r="M95" s="105">
        <f>+L95</f>
        <v>1607.7349999999999</v>
      </c>
      <c r="N95" s="104">
        <v>1666.1590000000001</v>
      </c>
      <c r="O95" s="104">
        <v>1615.5709999999999</v>
      </c>
      <c r="P95" s="108">
        <v>1805.962</v>
      </c>
      <c r="Q95" s="108">
        <v>1704.432</v>
      </c>
      <c r="R95" s="105">
        <f>+Q95</f>
        <v>1704.432</v>
      </c>
      <c r="S95" s="108">
        <v>1751.1</v>
      </c>
      <c r="T95" s="108">
        <v>1926.2</v>
      </c>
      <c r="U95" s="108">
        <v>2138.9</v>
      </c>
      <c r="V95" s="108">
        <v>1948.1</v>
      </c>
      <c r="W95" s="105">
        <f>+V95</f>
        <v>1948.1</v>
      </c>
      <c r="X95" s="108">
        <v>1955.3</v>
      </c>
      <c r="Y95" s="108">
        <v>1922.7</v>
      </c>
      <c r="Z95" s="108">
        <v>2041.4</v>
      </c>
      <c r="AA95" s="108">
        <f>+AB95</f>
        <v>2179.5</v>
      </c>
      <c r="AB95" s="105">
        <v>2179.5</v>
      </c>
      <c r="AC95" s="108">
        <v>2270.6999999999998</v>
      </c>
      <c r="AD95" s="108">
        <v>2005.1</v>
      </c>
      <c r="AE95" s="108">
        <v>1978.5</v>
      </c>
      <c r="AF95" s="108">
        <f>+AG95</f>
        <v>1828.7</v>
      </c>
      <c r="AG95" s="105">
        <v>1828.7</v>
      </c>
      <c r="AH95" s="108">
        <v>1846</v>
      </c>
      <c r="AI95" s="108">
        <v>1824</v>
      </c>
      <c r="AJ95" s="104">
        <v>1992.5</v>
      </c>
      <c r="AK95" s="108">
        <v>1879.9</v>
      </c>
      <c r="AL95" s="105">
        <f>AK95</f>
        <v>1879.9</v>
      </c>
      <c r="AM95" s="104">
        <v>1795.6</v>
      </c>
      <c r="AN95" s="104">
        <v>1722.4</v>
      </c>
      <c r="AO95" s="104">
        <v>1866.6</v>
      </c>
      <c r="AP95" s="104">
        <v>1369.3</v>
      </c>
      <c r="AQ95" s="105">
        <f>AP95</f>
        <v>1369.3</v>
      </c>
      <c r="AR95" s="104">
        <v>1309</v>
      </c>
      <c r="AS95" s="104">
        <v>1259.2</v>
      </c>
      <c r="AT95" s="106">
        <v>1463.5</v>
      </c>
      <c r="AU95" s="106">
        <v>1374.5</v>
      </c>
      <c r="AV95" s="105">
        <f>AU95</f>
        <v>1374.5</v>
      </c>
      <c r="AW95" s="104">
        <v>1325.2</v>
      </c>
      <c r="AX95" s="108">
        <v>1364.9</v>
      </c>
      <c r="AY95" s="108">
        <v>1596.3</v>
      </c>
      <c r="AZ95" s="108">
        <v>1480.9</v>
      </c>
      <c r="BA95" s="105">
        <f>AZ95</f>
        <v>1480.9</v>
      </c>
      <c r="BB95" s="108">
        <v>1443.8</v>
      </c>
      <c r="BC95" s="108">
        <v>1643</v>
      </c>
      <c r="BD95" s="108">
        <v>1824</v>
      </c>
      <c r="BE95" s="135">
        <v>1743.8</v>
      </c>
      <c r="BF95" s="105">
        <f>BE95</f>
        <v>1743.8</v>
      </c>
      <c r="BG95" s="135">
        <v>1781.5</v>
      </c>
      <c r="BH95" s="135">
        <v>1778.9</v>
      </c>
      <c r="BI95" s="135">
        <v>1927.2</v>
      </c>
      <c r="BJ95" s="135">
        <v>1827.2</v>
      </c>
      <c r="BK95" s="105">
        <f>BJ95</f>
        <v>1827.2</v>
      </c>
      <c r="BL95" s="108">
        <v>1783.7</v>
      </c>
      <c r="BM95" s="108">
        <v>1777.1</v>
      </c>
      <c r="BN95" s="108">
        <v>1884.6</v>
      </c>
      <c r="BO95" s="562">
        <v>1851.6</v>
      </c>
      <c r="BP95" s="105">
        <f>BO95</f>
        <v>1851.6</v>
      </c>
      <c r="BQ95" s="562">
        <v>1918.8</v>
      </c>
      <c r="BR95" s="562">
        <v>1855.2</v>
      </c>
      <c r="BS95" s="562">
        <v>2123.1</v>
      </c>
      <c r="BT95" s="562">
        <v>1955.1</v>
      </c>
      <c r="BU95" s="105">
        <f>BT95</f>
        <v>1955.1</v>
      </c>
      <c r="BV95" s="562">
        <v>1936.9</v>
      </c>
      <c r="BW95" s="562">
        <v>1929.7</v>
      </c>
      <c r="BX95" s="562">
        <v>2167.6</v>
      </c>
      <c r="BY95" s="562">
        <v>2084</v>
      </c>
      <c r="BZ95" s="105">
        <f>BY95</f>
        <v>2084</v>
      </c>
      <c r="CA95" s="104">
        <f>-CA185*4*CA11</f>
        <v>2059.2046212955079</v>
      </c>
      <c r="CB95" s="104">
        <f>-CB185*4*CB11</f>
        <v>2044.898038122539</v>
      </c>
      <c r="CC95" s="104">
        <f>-CC185*4*CC11</f>
        <v>2316.4161421477161</v>
      </c>
      <c r="CD95" s="104">
        <f>-CD185*4*CD11</f>
        <v>2183.9984194381614</v>
      </c>
      <c r="CE95" s="105">
        <f>CD95</f>
        <v>2183.9984194381614</v>
      </c>
      <c r="CF95" s="104">
        <f>-CF185*4*CF11</f>
        <v>2123.9008756010344</v>
      </c>
      <c r="CG95" s="104">
        <f>-CG185*4*CG11</f>
        <v>2105.7890770624626</v>
      </c>
      <c r="CH95" s="104">
        <f>-CH185*4*CH11</f>
        <v>2384.8807355111076</v>
      </c>
      <c r="CI95" s="104">
        <f>-CI185*4*CI11</f>
        <v>2247.7045856432615</v>
      </c>
      <c r="CJ95" s="105">
        <f>CI95</f>
        <v>2247.7045856432615</v>
      </c>
      <c r="CK95" s="104">
        <f>-CK185*4*CK11</f>
        <v>2188.4954996476399</v>
      </c>
      <c r="CL95" s="104">
        <f>-CL185*4*CL11</f>
        <v>2166.3427915008565</v>
      </c>
      <c r="CM95" s="104">
        <f>-CM185*4*CM11</f>
        <v>2456.4012666291624</v>
      </c>
      <c r="CN95" s="104">
        <f>-CN185*4*CN11</f>
        <v>2313.7204611800826</v>
      </c>
      <c r="CO95" s="105">
        <f>CN95</f>
        <v>2313.7204611800826</v>
      </c>
      <c r="CP95" s="104">
        <f>-CP185*4*CP11</f>
        <v>2285.022123907062</v>
      </c>
      <c r="CQ95" s="104">
        <f>-CQ185*4*CQ11</f>
        <v>2261.7310797323821</v>
      </c>
      <c r="CR95" s="104">
        <f>-CR185*4*CR11</f>
        <v>2559.3858915250926</v>
      </c>
      <c r="CS95" s="104">
        <f>-CS185*4*CS11</f>
        <v>2410.7094675255507</v>
      </c>
      <c r="CT95" s="105">
        <f>CS95</f>
        <v>2410.7094675255507</v>
      </c>
      <c r="CU95" s="104">
        <f>-CU185*4*CU11</f>
        <v>2376.3732826458408</v>
      </c>
      <c r="CV95" s="104">
        <f>-CV185*4*CV11</f>
        <v>2352.0031785500805</v>
      </c>
      <c r="CW95" s="104">
        <f>-CW185*4*CW11</f>
        <v>2656.6720882002801</v>
      </c>
      <c r="CX95" s="104">
        <f>-CX185*4*CX11</f>
        <v>2502.3772190123009</v>
      </c>
      <c r="CY95" s="105">
        <f>CX95</f>
        <v>2502.3772190123009</v>
      </c>
      <c r="CZ95" s="106"/>
      <c r="DA95" s="490"/>
      <c r="DB95" s="308"/>
      <c r="DC95" s="729"/>
      <c r="DD95" s="748"/>
      <c r="DE95" s="827"/>
      <c r="DG95" s="308"/>
      <c r="DH95" s="308"/>
      <c r="DI95" s="773"/>
      <c r="DJ95" s="730"/>
      <c r="DK95" s="730"/>
      <c r="DL95" s="723"/>
      <c r="DM95" s="730"/>
      <c r="DN95" s="730"/>
      <c r="DU95" s="48"/>
      <c r="DV95" s="48"/>
      <c r="DW95" s="730"/>
      <c r="DX95" s="730"/>
      <c r="DY95" s="730"/>
      <c r="DZ95" s="730"/>
      <c r="EA95" s="730"/>
    </row>
    <row r="96" spans="1:131" x14ac:dyDescent="0.2">
      <c r="A96" s="48" t="s">
        <v>111</v>
      </c>
      <c r="B96" s="48"/>
      <c r="C96" s="48"/>
      <c r="D96" s="203">
        <v>108.773</v>
      </c>
      <c r="E96" s="203">
        <v>108.883</v>
      </c>
      <c r="F96" s="203">
        <v>117.946</v>
      </c>
      <c r="G96" s="203">
        <v>137.047</v>
      </c>
      <c r="H96" s="204">
        <f>+G96</f>
        <v>137.047</v>
      </c>
      <c r="I96" s="203">
        <v>141.589</v>
      </c>
      <c r="J96" s="203">
        <v>176.999</v>
      </c>
      <c r="K96" s="203">
        <v>185.626</v>
      </c>
      <c r="L96" s="203">
        <v>259.02300000000002</v>
      </c>
      <c r="M96" s="204">
        <f>+L96</f>
        <v>259.02300000000002</v>
      </c>
      <c r="N96" s="203">
        <v>211.572</v>
      </c>
      <c r="O96" s="203">
        <v>209.62899999999999</v>
      </c>
      <c r="P96" s="205">
        <v>194.85</v>
      </c>
      <c r="Q96" s="203">
        <v>213.67</v>
      </c>
      <c r="R96" s="204">
        <f>+Q96</f>
        <v>213.67</v>
      </c>
      <c r="S96" s="203">
        <v>278.7</v>
      </c>
      <c r="T96" s="203">
        <v>281.8</v>
      </c>
      <c r="U96" s="203">
        <v>303.2</v>
      </c>
      <c r="V96" s="203">
        <v>160.69999999999999</v>
      </c>
      <c r="W96" s="204">
        <f>+V96</f>
        <v>160.69999999999999</v>
      </c>
      <c r="X96" s="203">
        <v>156.6</v>
      </c>
      <c r="Y96" s="203">
        <v>147</v>
      </c>
      <c r="Z96" s="203">
        <v>142.69999999999999</v>
      </c>
      <c r="AA96" s="205">
        <f>+AB96</f>
        <v>267.39999999999998</v>
      </c>
      <c r="AB96" s="204">
        <v>267.39999999999998</v>
      </c>
      <c r="AC96" s="203">
        <v>238.4</v>
      </c>
      <c r="AD96" s="203">
        <v>232.2</v>
      </c>
      <c r="AE96" s="203">
        <v>172.2</v>
      </c>
      <c r="AF96" s="205">
        <f>+AG96</f>
        <v>168.1</v>
      </c>
      <c r="AG96" s="204">
        <v>168.1</v>
      </c>
      <c r="AH96" s="205">
        <v>188</v>
      </c>
      <c r="AI96" s="205">
        <v>187.6</v>
      </c>
      <c r="AJ96" s="203">
        <v>149.1</v>
      </c>
      <c r="AK96" s="205">
        <v>151</v>
      </c>
      <c r="AL96" s="204">
        <f>+AK96</f>
        <v>151</v>
      </c>
      <c r="AM96" s="203">
        <v>109</v>
      </c>
      <c r="AN96" s="203">
        <v>103</v>
      </c>
      <c r="AO96" s="203">
        <v>93.3</v>
      </c>
      <c r="AP96" s="203">
        <v>287.10000000000002</v>
      </c>
      <c r="AQ96" s="204">
        <f>+AP96</f>
        <v>287.10000000000002</v>
      </c>
      <c r="AR96" s="203">
        <v>174.4</v>
      </c>
      <c r="AS96" s="203">
        <v>148.69999999999999</v>
      </c>
      <c r="AT96" s="206">
        <v>90</v>
      </c>
      <c r="AU96" s="206">
        <v>136.4</v>
      </c>
      <c r="AV96" s="204">
        <f>+AU96</f>
        <v>136.4</v>
      </c>
      <c r="AW96" s="203">
        <v>119.3</v>
      </c>
      <c r="AX96" s="205">
        <v>147.4</v>
      </c>
      <c r="AY96" s="205">
        <v>144.69999999999999</v>
      </c>
      <c r="AZ96" s="205">
        <v>186.9</v>
      </c>
      <c r="BA96" s="204">
        <f>+AZ96</f>
        <v>186.9</v>
      </c>
      <c r="BB96" s="205">
        <v>216.4</v>
      </c>
      <c r="BC96" s="205">
        <v>254.4</v>
      </c>
      <c r="BD96" s="205">
        <v>277.39999999999998</v>
      </c>
      <c r="BE96" s="205">
        <v>313.3</v>
      </c>
      <c r="BF96" s="204">
        <f>+BE96</f>
        <v>313.3</v>
      </c>
      <c r="BG96" s="205">
        <v>326.39999999999998</v>
      </c>
      <c r="BH96" s="205">
        <v>298</v>
      </c>
      <c r="BI96" s="205">
        <v>335</v>
      </c>
      <c r="BJ96" s="205">
        <v>374.6</v>
      </c>
      <c r="BK96" s="204">
        <f>+BJ96</f>
        <v>374.6</v>
      </c>
      <c r="BL96" s="205">
        <v>368.7</v>
      </c>
      <c r="BM96" s="205">
        <v>301.2</v>
      </c>
      <c r="BN96" s="205">
        <v>370.3</v>
      </c>
      <c r="BO96" s="563">
        <v>310.39999999999998</v>
      </c>
      <c r="BP96" s="204">
        <f>+BO96</f>
        <v>310.39999999999998</v>
      </c>
      <c r="BQ96" s="563">
        <v>359.1</v>
      </c>
      <c r="BR96" s="563">
        <v>306.2</v>
      </c>
      <c r="BS96" s="563">
        <v>268.39999999999998</v>
      </c>
      <c r="BT96" s="563">
        <v>360.5</v>
      </c>
      <c r="BU96" s="204">
        <f>+BT96</f>
        <v>360.5</v>
      </c>
      <c r="BV96" s="563">
        <v>392.5</v>
      </c>
      <c r="BW96" s="563">
        <v>464.8</v>
      </c>
      <c r="BX96" s="563">
        <v>444</v>
      </c>
      <c r="BY96" s="563">
        <v>523.5</v>
      </c>
      <c r="BZ96" s="204">
        <f>+BY96</f>
        <v>523.5</v>
      </c>
      <c r="CA96" s="203">
        <f>CA187*4*CA5</f>
        <v>419.89885444232766</v>
      </c>
      <c r="CB96" s="203">
        <f>CB187*4*CB5</f>
        <v>503.32017167550981</v>
      </c>
      <c r="CC96" s="203">
        <f>CC187*4*CC5</f>
        <v>487.32076201100551</v>
      </c>
      <c r="CD96" s="203">
        <f>CD187*4*CD5</f>
        <v>561.65084705334402</v>
      </c>
      <c r="CE96" s="204">
        <f>+CD96</f>
        <v>561.65084705334402</v>
      </c>
      <c r="CF96" s="203">
        <f>CF187*4*CF5</f>
        <v>447.85673217026698</v>
      </c>
      <c r="CG96" s="203">
        <f>CG187*4*CG5</f>
        <v>536.74302661812874</v>
      </c>
      <c r="CH96" s="203">
        <f>CH187*4*CH5</f>
        <v>517.6623741902406</v>
      </c>
      <c r="CI96" s="203">
        <f>CI187*4*CI5</f>
        <v>596.36231647254715</v>
      </c>
      <c r="CJ96" s="204">
        <f>+CI96</f>
        <v>596.36231647254715</v>
      </c>
      <c r="CK96" s="203">
        <f>CK187*4*CK5</f>
        <v>472.36287976182183</v>
      </c>
      <c r="CL96" s="203">
        <f>CL187*4*CL5</f>
        <v>566.05068824855471</v>
      </c>
      <c r="CM96" s="203">
        <f>CM187*4*CM5</f>
        <v>544.52291554945577</v>
      </c>
      <c r="CN96" s="203">
        <f>CN187*4*CN5</f>
        <v>627.12609863624039</v>
      </c>
      <c r="CO96" s="204">
        <f>+CN96</f>
        <v>627.12609863624039</v>
      </c>
      <c r="CP96" s="203">
        <f>CP187*4*CP5</f>
        <v>495.85849643978372</v>
      </c>
      <c r="CQ96" s="203">
        <f>CQ187*4*CQ5</f>
        <v>594.15520479673251</v>
      </c>
      <c r="CR96" s="203">
        <f>CR187*4*CR5</f>
        <v>570.40252261137812</v>
      </c>
      <c r="CS96" s="203">
        <f>CS187*4*CS5</f>
        <v>656.78284516494432</v>
      </c>
      <c r="CT96" s="204">
        <f>+CS96</f>
        <v>656.78284516494432</v>
      </c>
      <c r="CU96" s="203">
        <f>CU187*4*CU5</f>
        <v>518.47987464662845</v>
      </c>
      <c r="CV96" s="203">
        <f>CV187*4*CV5</f>
        <v>621.21254341095857</v>
      </c>
      <c r="CW96" s="203">
        <f>CW187*4*CW5</f>
        <v>595.28507140424642</v>
      </c>
      <c r="CX96" s="203">
        <f>CX187*4*CX5</f>
        <v>685.29260595274616</v>
      </c>
      <c r="CY96" s="204">
        <f>+CX96</f>
        <v>685.29260595274616</v>
      </c>
      <c r="CZ96" s="207"/>
      <c r="DB96" s="308"/>
      <c r="DC96" s="729"/>
      <c r="DD96" s="748"/>
      <c r="DG96" s="308"/>
      <c r="DH96" s="308"/>
      <c r="DI96" s="773"/>
      <c r="DJ96" s="730"/>
      <c r="DK96" s="730"/>
      <c r="DL96" s="828"/>
      <c r="DM96" s="730"/>
      <c r="DN96" s="730"/>
      <c r="DU96" s="48"/>
      <c r="DV96" s="48"/>
      <c r="DW96" s="730"/>
      <c r="DX96" s="730"/>
      <c r="DY96" s="730"/>
      <c r="DZ96" s="730"/>
      <c r="EA96" s="730"/>
    </row>
    <row r="97" spans="1:131" x14ac:dyDescent="0.2">
      <c r="A97" s="89"/>
      <c r="B97" s="89" t="s">
        <v>112</v>
      </c>
      <c r="C97" s="89"/>
      <c r="D97" s="84">
        <f t="shared" ref="D97:AI97" si="121">SUM(D93:D96)+D92</f>
        <v>2050.2370000000001</v>
      </c>
      <c r="E97" s="84">
        <f t="shared" si="121"/>
        <v>1970.1679999999999</v>
      </c>
      <c r="F97" s="84">
        <f t="shared" si="121"/>
        <v>2216.3959999999997</v>
      </c>
      <c r="G97" s="84">
        <f t="shared" si="121"/>
        <v>2071.471</v>
      </c>
      <c r="H97" s="85">
        <f t="shared" si="121"/>
        <v>2071.471</v>
      </c>
      <c r="I97" s="84">
        <f t="shared" si="121"/>
        <v>2180.2350000000001</v>
      </c>
      <c r="J97" s="84">
        <f t="shared" si="121"/>
        <v>2294.596</v>
      </c>
      <c r="K97" s="84">
        <f t="shared" si="121"/>
        <v>2548.1270000000004</v>
      </c>
      <c r="L97" s="84">
        <f t="shared" si="121"/>
        <v>2734.0349999999999</v>
      </c>
      <c r="M97" s="85">
        <f t="shared" si="121"/>
        <v>2734.0349999999999</v>
      </c>
      <c r="N97" s="84">
        <f t="shared" si="121"/>
        <v>2719.1379999999999</v>
      </c>
      <c r="O97" s="84">
        <f t="shared" si="121"/>
        <v>2734.5059999999999</v>
      </c>
      <c r="P97" s="84">
        <f t="shared" si="121"/>
        <v>2996.7139999999999</v>
      </c>
      <c r="Q97" s="84">
        <f t="shared" si="121"/>
        <v>2700.855</v>
      </c>
      <c r="R97" s="85">
        <f t="shared" si="121"/>
        <v>2700.855</v>
      </c>
      <c r="S97" s="84">
        <f t="shared" si="121"/>
        <v>2921.5</v>
      </c>
      <c r="T97" s="84">
        <f t="shared" si="121"/>
        <v>3272.6000000000004</v>
      </c>
      <c r="U97" s="84">
        <f t="shared" si="121"/>
        <v>3636.3999999999996</v>
      </c>
      <c r="V97" s="84">
        <f t="shared" si="121"/>
        <v>3023.2999999999997</v>
      </c>
      <c r="W97" s="85">
        <f t="shared" si="121"/>
        <v>3023.2999999999997</v>
      </c>
      <c r="X97" s="84">
        <f t="shared" si="121"/>
        <v>2909.2999999999997</v>
      </c>
      <c r="Y97" s="84">
        <f t="shared" si="121"/>
        <v>2887.4</v>
      </c>
      <c r="Z97" s="84">
        <f t="shared" si="121"/>
        <v>3147.5</v>
      </c>
      <c r="AA97" s="87">
        <f t="shared" si="121"/>
        <v>3199</v>
      </c>
      <c r="AB97" s="85">
        <f t="shared" si="121"/>
        <v>3199</v>
      </c>
      <c r="AC97" s="84">
        <f t="shared" si="121"/>
        <v>3325.4</v>
      </c>
      <c r="AD97" s="84">
        <f t="shared" si="121"/>
        <v>3038.0999999999995</v>
      </c>
      <c r="AE97" s="84">
        <f t="shared" si="121"/>
        <v>3145.3999999999996</v>
      </c>
      <c r="AF97" s="87">
        <f t="shared" si="121"/>
        <v>2534.5</v>
      </c>
      <c r="AG97" s="85">
        <f t="shared" si="121"/>
        <v>2534.5</v>
      </c>
      <c r="AH97" s="87">
        <f t="shared" si="121"/>
        <v>2766.7</v>
      </c>
      <c r="AI97" s="87">
        <f t="shared" si="121"/>
        <v>2818.6</v>
      </c>
      <c r="AJ97" s="84">
        <f t="shared" ref="AJ97:BO97" si="122">SUM(AJ93:AJ96)+AJ92</f>
        <v>3093.6</v>
      </c>
      <c r="AK97" s="87">
        <f t="shared" si="122"/>
        <v>2589.1000000000004</v>
      </c>
      <c r="AL97" s="85">
        <f t="shared" si="122"/>
        <v>2589.1000000000004</v>
      </c>
      <c r="AM97" s="84">
        <f t="shared" si="122"/>
        <v>2562</v>
      </c>
      <c r="AN97" s="84">
        <f t="shared" si="122"/>
        <v>2560</v>
      </c>
      <c r="AO97" s="84">
        <f t="shared" si="122"/>
        <v>2844.8</v>
      </c>
      <c r="AP97" s="84">
        <f t="shared" si="122"/>
        <v>2083</v>
      </c>
      <c r="AQ97" s="85">
        <f t="shared" si="122"/>
        <v>2083</v>
      </c>
      <c r="AR97" s="84">
        <f t="shared" si="122"/>
        <v>1956.1000000000001</v>
      </c>
      <c r="AS97" s="84">
        <f t="shared" si="122"/>
        <v>1919.6000000000001</v>
      </c>
      <c r="AT97" s="86">
        <f t="shared" si="122"/>
        <v>2178.5</v>
      </c>
      <c r="AU97" s="86">
        <f t="shared" si="122"/>
        <v>2034.3000000000002</v>
      </c>
      <c r="AV97" s="85">
        <f t="shared" si="122"/>
        <v>2034.3000000000002</v>
      </c>
      <c r="AW97" s="84">
        <f t="shared" si="122"/>
        <v>1971.3999999999999</v>
      </c>
      <c r="AX97" s="87">
        <f t="shared" si="122"/>
        <v>2177.9</v>
      </c>
      <c r="AY97" s="87">
        <f t="shared" si="122"/>
        <v>2480.6</v>
      </c>
      <c r="AZ97" s="87">
        <f t="shared" si="122"/>
        <v>2471.2000000000003</v>
      </c>
      <c r="BA97" s="85">
        <f t="shared" si="122"/>
        <v>2471.2000000000003</v>
      </c>
      <c r="BB97" s="87">
        <f t="shared" si="122"/>
        <v>2723.2999999999997</v>
      </c>
      <c r="BC97" s="87">
        <f t="shared" si="122"/>
        <v>2670.1</v>
      </c>
      <c r="BD97" s="87">
        <f t="shared" si="122"/>
        <v>2835.4</v>
      </c>
      <c r="BE97" s="87">
        <f t="shared" si="122"/>
        <v>2747.2000000000003</v>
      </c>
      <c r="BF97" s="85">
        <f t="shared" si="122"/>
        <v>2747.2000000000003</v>
      </c>
      <c r="BG97" s="87">
        <f t="shared" si="122"/>
        <v>3137.2000000000003</v>
      </c>
      <c r="BH97" s="87">
        <f>SUM(BH93:BH96)+BH92</f>
        <v>2838.1</v>
      </c>
      <c r="BI97" s="87">
        <f t="shared" si="122"/>
        <v>3030.8</v>
      </c>
      <c r="BJ97" s="87">
        <f t="shared" si="122"/>
        <v>2910.7999999999997</v>
      </c>
      <c r="BK97" s="85">
        <f t="shared" si="122"/>
        <v>2910.7999999999997</v>
      </c>
      <c r="BL97" s="87">
        <f>SUM(BL93:BL96)+BL92</f>
        <v>2979.3</v>
      </c>
      <c r="BM97" s="87">
        <f>SUM(BM93:BM96)+BM92</f>
        <v>3131.5</v>
      </c>
      <c r="BN97" s="87">
        <f t="shared" si="122"/>
        <v>3460.9</v>
      </c>
      <c r="BO97" s="87">
        <f t="shared" si="122"/>
        <v>2977.6</v>
      </c>
      <c r="BP97" s="85">
        <f t="shared" ref="BP97:BX97" si="123">SUM(BP93:BP96)+BP92</f>
        <v>2977.6</v>
      </c>
      <c r="BQ97" s="87">
        <f t="shared" si="123"/>
        <v>3218.4999999999995</v>
      </c>
      <c r="BR97" s="87">
        <f t="shared" si="123"/>
        <v>3169.8</v>
      </c>
      <c r="BS97" s="87">
        <f t="shared" si="123"/>
        <v>3444.7999999999997</v>
      </c>
      <c r="BT97" s="87">
        <f t="shared" si="123"/>
        <v>3230</v>
      </c>
      <c r="BU97" s="85">
        <f t="shared" si="123"/>
        <v>3230</v>
      </c>
      <c r="BV97" s="87">
        <f>SUM(BV93:BV96)+BV92</f>
        <v>3360.5</v>
      </c>
      <c r="BW97" s="87">
        <f t="shared" si="123"/>
        <v>3373.4</v>
      </c>
      <c r="BX97" s="87">
        <f t="shared" si="123"/>
        <v>3545.6</v>
      </c>
      <c r="BY97" s="87">
        <f>SUM(BY93:BY96)+BY92</f>
        <v>3474</v>
      </c>
      <c r="BZ97" s="85">
        <f t="shared" ref="BZ97:CY97" si="124">SUM(BZ93:BZ96)+BZ92</f>
        <v>3474</v>
      </c>
      <c r="CA97" s="84">
        <f t="shared" ca="1" si="124"/>
        <v>3442.9171904737123</v>
      </c>
      <c r="CB97" s="84">
        <f t="shared" ca="1" si="124"/>
        <v>3544.4771928183836</v>
      </c>
      <c r="CC97" s="84">
        <f t="shared" ca="1" si="124"/>
        <v>3733.7950656995026</v>
      </c>
      <c r="CD97" s="84">
        <f t="shared" ca="1" si="124"/>
        <v>3653.5592638865646</v>
      </c>
      <c r="CE97" s="85">
        <f t="shared" ca="1" si="124"/>
        <v>3653.5592638865646</v>
      </c>
      <c r="CF97" s="84">
        <f t="shared" ca="1" si="124"/>
        <v>3593.7319708916525</v>
      </c>
      <c r="CG97" s="84">
        <f t="shared" ca="1" si="124"/>
        <v>3698.9510750690706</v>
      </c>
      <c r="CH97" s="84">
        <f t="shared" ca="1" si="124"/>
        <v>3884.8863747059586</v>
      </c>
      <c r="CI97" s="84">
        <f t="shared" ca="1" si="124"/>
        <v>3802.5073038898681</v>
      </c>
      <c r="CJ97" s="85">
        <f t="shared" ca="1" si="124"/>
        <v>3802.5073038898681</v>
      </c>
      <c r="CK97" s="84">
        <f t="shared" ca="1" si="124"/>
        <v>3733.8127721014457</v>
      </c>
      <c r="CL97" s="84">
        <f t="shared" ca="1" si="124"/>
        <v>3841.5652332030663</v>
      </c>
      <c r="CM97" s="84">
        <f t="shared" ca="1" si="124"/>
        <v>4029.5539192324031</v>
      </c>
      <c r="CN97" s="84">
        <f t="shared" ca="1" si="124"/>
        <v>3944.0706131893812</v>
      </c>
      <c r="CO97" s="85">
        <f t="shared" ca="1" si="124"/>
        <v>3944.0706131893812</v>
      </c>
      <c r="CP97" s="84">
        <f t="shared" ca="1" si="124"/>
        <v>3902.7128396564672</v>
      </c>
      <c r="CQ97" s="84">
        <f t="shared" ca="1" si="124"/>
        <v>4015.6452003162522</v>
      </c>
      <c r="CR97" s="84">
        <f t="shared" ca="1" si="124"/>
        <v>4203.0142631187409</v>
      </c>
      <c r="CS97" s="84">
        <f t="shared" ca="1" si="124"/>
        <v>4113.888476600363</v>
      </c>
      <c r="CT97" s="85">
        <f t="shared" ca="1" si="124"/>
        <v>4113.888476600363</v>
      </c>
      <c r="CU97" s="84">
        <f t="shared" ca="1" si="124"/>
        <v>4063.7445288261415</v>
      </c>
      <c r="CV97" s="84">
        <f t="shared" ca="1" si="124"/>
        <v>4181.6769158479792</v>
      </c>
      <c r="CW97" s="84">
        <f t="shared" ca="1" si="124"/>
        <v>4368.0609753340377</v>
      </c>
      <c r="CX97" s="84">
        <f t="shared" ca="1" si="124"/>
        <v>4275.5684019234159</v>
      </c>
      <c r="CY97" s="85">
        <f t="shared" ca="1" si="124"/>
        <v>4275.5684019234159</v>
      </c>
      <c r="CZ97" s="86"/>
      <c r="DA97" s="796"/>
      <c r="DB97" s="738"/>
      <c r="DC97" s="797"/>
      <c r="DD97" s="796"/>
      <c r="DE97" s="740"/>
      <c r="DF97" s="796"/>
      <c r="DG97" s="738"/>
      <c r="DH97" s="738"/>
      <c r="DI97" s="739"/>
      <c r="DJ97" s="739"/>
      <c r="DK97" s="739"/>
      <c r="DL97" s="739"/>
      <c r="DM97" s="739"/>
      <c r="DN97" s="739"/>
      <c r="DU97" s="89"/>
      <c r="DV97" s="89"/>
      <c r="DW97" s="739"/>
      <c r="DX97" s="739"/>
      <c r="DY97" s="739"/>
      <c r="DZ97" s="739"/>
      <c r="EA97" s="739"/>
    </row>
    <row r="98" spans="1:131" x14ac:dyDescent="0.2">
      <c r="A98" s="48"/>
      <c r="B98" s="48"/>
      <c r="C98" s="48"/>
      <c r="D98" s="104"/>
      <c r="E98" s="104"/>
      <c r="F98" s="104"/>
      <c r="G98" s="104"/>
      <c r="H98" s="105"/>
      <c r="I98" s="104"/>
      <c r="J98" s="104"/>
      <c r="K98" s="104"/>
      <c r="L98" s="104"/>
      <c r="M98" s="105"/>
      <c r="N98" s="104"/>
      <c r="O98" s="104"/>
      <c r="P98" s="104"/>
      <c r="Q98" s="104"/>
      <c r="R98" s="105"/>
      <c r="S98" s="104"/>
      <c r="T98" s="104"/>
      <c r="U98" s="104"/>
      <c r="V98" s="104"/>
      <c r="W98" s="105"/>
      <c r="X98" s="104"/>
      <c r="Y98" s="104"/>
      <c r="Z98" s="104"/>
      <c r="AA98" s="108"/>
      <c r="AB98" s="105"/>
      <c r="AC98" s="104"/>
      <c r="AD98" s="104"/>
      <c r="AE98" s="104"/>
      <c r="AF98" s="108"/>
      <c r="AG98" s="105"/>
      <c r="AH98" s="108"/>
      <c r="AI98" s="108"/>
      <c r="AJ98" s="104"/>
      <c r="AK98" s="108"/>
      <c r="AL98" s="105"/>
      <c r="AM98" s="104"/>
      <c r="AN98" s="104"/>
      <c r="AO98" s="104"/>
      <c r="AP98" s="104"/>
      <c r="AQ98" s="105"/>
      <c r="AR98" s="104"/>
      <c r="AS98" s="104"/>
      <c r="AT98" s="106"/>
      <c r="AU98" s="106"/>
      <c r="AV98" s="105"/>
      <c r="AW98" s="104"/>
      <c r="AX98" s="108"/>
      <c r="AY98" s="108"/>
      <c r="AZ98" s="108"/>
      <c r="BA98" s="105"/>
      <c r="BB98" s="104"/>
      <c r="BC98" s="104"/>
      <c r="BD98" s="104"/>
      <c r="BE98" s="108"/>
      <c r="BF98" s="105"/>
      <c r="BG98" s="108"/>
      <c r="BH98" s="108"/>
      <c r="BI98" s="108"/>
      <c r="BJ98" s="108"/>
      <c r="BK98" s="105"/>
      <c r="BL98" s="108"/>
      <c r="BM98" s="108"/>
      <c r="BN98" s="108"/>
      <c r="BO98" s="562"/>
      <c r="BP98" s="105"/>
      <c r="BQ98" s="562"/>
      <c r="BR98" s="562"/>
      <c r="BS98" s="562"/>
      <c r="BT98" s="562"/>
      <c r="BU98" s="105"/>
      <c r="BV98" s="562"/>
      <c r="BW98" s="562"/>
      <c r="BX98" s="562"/>
      <c r="BY98" s="562"/>
      <c r="BZ98" s="105"/>
      <c r="CA98" s="104"/>
      <c r="CB98" s="104"/>
      <c r="CC98" s="104"/>
      <c r="CD98" s="104"/>
      <c r="CE98" s="105"/>
      <c r="CF98" s="104"/>
      <c r="CG98" s="104"/>
      <c r="CH98" s="104"/>
      <c r="CI98" s="104"/>
      <c r="CJ98" s="105"/>
      <c r="CK98" s="104"/>
      <c r="CL98" s="104"/>
      <c r="CM98" s="104"/>
      <c r="CN98" s="104"/>
      <c r="CO98" s="105"/>
      <c r="CP98" s="104"/>
      <c r="CQ98" s="104"/>
      <c r="CR98" s="104"/>
      <c r="CS98" s="104"/>
      <c r="CT98" s="105"/>
      <c r="CU98" s="104"/>
      <c r="CV98" s="104"/>
      <c r="CW98" s="104"/>
      <c r="CX98" s="104"/>
      <c r="CY98" s="105"/>
      <c r="CZ98" s="106"/>
      <c r="DB98" s="308"/>
      <c r="DC98" s="729"/>
      <c r="DG98" s="308"/>
      <c r="DH98" s="308"/>
      <c r="DI98" s="730"/>
      <c r="DJ98" s="730"/>
      <c r="DK98" s="730"/>
      <c r="DL98" s="730"/>
      <c r="DM98" s="730"/>
      <c r="DN98" s="730"/>
      <c r="DU98" s="48"/>
      <c r="DV98" s="48"/>
      <c r="DW98" s="730"/>
      <c r="DX98" s="730"/>
      <c r="DY98" s="730"/>
      <c r="DZ98" s="730"/>
      <c r="EA98" s="730"/>
    </row>
    <row r="99" spans="1:131" x14ac:dyDescent="0.2">
      <c r="A99" s="48" t="s">
        <v>113</v>
      </c>
      <c r="B99" s="48"/>
      <c r="C99" s="48"/>
      <c r="D99" s="104">
        <v>981.11599999999999</v>
      </c>
      <c r="E99" s="104">
        <v>991.99</v>
      </c>
      <c r="F99" s="104">
        <v>1047.982</v>
      </c>
      <c r="G99" s="104">
        <v>1097.3620000000001</v>
      </c>
      <c r="H99" s="105">
        <f>+G99</f>
        <v>1097.3620000000001</v>
      </c>
      <c r="I99" s="104">
        <v>1060.7059999999999</v>
      </c>
      <c r="J99" s="104">
        <v>1061.278</v>
      </c>
      <c r="K99" s="104">
        <v>1124.07</v>
      </c>
      <c r="L99" s="104">
        <v>1596.367</v>
      </c>
      <c r="M99" s="105">
        <f>+L99</f>
        <v>1596.367</v>
      </c>
      <c r="N99" s="104">
        <v>1449.5119999999999</v>
      </c>
      <c r="O99" s="104">
        <v>1439.7349999999999</v>
      </c>
      <c r="P99" s="108">
        <v>1414.135</v>
      </c>
      <c r="Q99" s="108">
        <v>1425.298</v>
      </c>
      <c r="R99" s="105">
        <f>+Q99</f>
        <v>1425.298</v>
      </c>
      <c r="S99" s="108">
        <v>1442.7</v>
      </c>
      <c r="T99" s="108">
        <v>1698.1</v>
      </c>
      <c r="U99" s="108">
        <v>1706.1</v>
      </c>
      <c r="V99" s="108">
        <v>1750.2</v>
      </c>
      <c r="W99" s="105">
        <f>+V99</f>
        <v>1750.2</v>
      </c>
      <c r="X99" s="108">
        <v>1744.2</v>
      </c>
      <c r="Y99" s="108">
        <v>1728.6</v>
      </c>
      <c r="Z99" s="108">
        <v>1791.9</v>
      </c>
      <c r="AA99" s="108">
        <f>+AB99</f>
        <v>2035</v>
      </c>
      <c r="AB99" s="105">
        <v>2035</v>
      </c>
      <c r="AC99" s="108">
        <v>2010.3</v>
      </c>
      <c r="AD99" s="108">
        <v>1752.6</v>
      </c>
      <c r="AE99" s="108">
        <v>1582.8</v>
      </c>
      <c r="AF99" s="108">
        <f>+AG99</f>
        <v>1547.5</v>
      </c>
      <c r="AG99" s="105">
        <v>1547.5</v>
      </c>
      <c r="AH99" s="108">
        <v>1633</v>
      </c>
      <c r="AI99" s="108">
        <v>1622.5</v>
      </c>
      <c r="AJ99" s="104">
        <v>1649.5</v>
      </c>
      <c r="AK99" s="108">
        <v>1567.2</v>
      </c>
      <c r="AL99" s="105">
        <f>+AK99</f>
        <v>1567.2</v>
      </c>
      <c r="AM99" s="104">
        <v>1522.9</v>
      </c>
      <c r="AN99" s="104">
        <v>1529</v>
      </c>
      <c r="AO99" s="104">
        <v>1556.1</v>
      </c>
      <c r="AP99" s="104">
        <v>1219.5999999999999</v>
      </c>
      <c r="AQ99" s="105">
        <f>+AP99</f>
        <v>1219.5999999999999</v>
      </c>
      <c r="AR99" s="104">
        <v>1230.7</v>
      </c>
      <c r="AS99" s="104">
        <v>1241</v>
      </c>
      <c r="AT99" s="106">
        <v>1251.7</v>
      </c>
      <c r="AU99" s="106">
        <v>1255.8</v>
      </c>
      <c r="AV99" s="105">
        <f>+AU99</f>
        <v>1255.8</v>
      </c>
      <c r="AW99" s="106">
        <v>1219.0999999999999</v>
      </c>
      <c r="AX99" s="108">
        <v>1233.5</v>
      </c>
      <c r="AY99" s="108">
        <v>1236.7</v>
      </c>
      <c r="AZ99" s="108">
        <v>1229</v>
      </c>
      <c r="BA99" s="105">
        <f>+AZ99</f>
        <v>1229</v>
      </c>
      <c r="BB99" s="108">
        <v>1207.5999999999999</v>
      </c>
      <c r="BC99" s="108">
        <v>1870.4</v>
      </c>
      <c r="BD99" s="108">
        <v>1905.4</v>
      </c>
      <c r="BE99" s="108">
        <v>2014.3</v>
      </c>
      <c r="BF99" s="105">
        <f>+BE99</f>
        <v>2014.3</v>
      </c>
      <c r="BG99" s="108">
        <v>2157.1</v>
      </c>
      <c r="BH99" s="108">
        <v>2299.9</v>
      </c>
      <c r="BI99" s="108">
        <v>2419.1</v>
      </c>
      <c r="BJ99" s="108">
        <v>2681.6</v>
      </c>
      <c r="BK99" s="105">
        <f>+BJ99</f>
        <v>2681.6</v>
      </c>
      <c r="BL99" s="108">
        <v>2742.1</v>
      </c>
      <c r="BM99" s="108">
        <v>2773.3</v>
      </c>
      <c r="BN99" s="108">
        <v>2949</v>
      </c>
      <c r="BO99" s="562">
        <v>3333.4</v>
      </c>
      <c r="BP99" s="105">
        <f>+BO99</f>
        <v>3333.4</v>
      </c>
      <c r="BQ99" s="562">
        <v>3507.2</v>
      </c>
      <c r="BR99" s="562">
        <v>3632.1</v>
      </c>
      <c r="BS99" s="562">
        <v>3708</v>
      </c>
      <c r="BT99" s="562">
        <v>3932.8</v>
      </c>
      <c r="BU99" s="105">
        <f>+BT99</f>
        <v>3932.8</v>
      </c>
      <c r="BV99" s="562">
        <v>4186.8999999999996</v>
      </c>
      <c r="BW99" s="562">
        <v>4464.2</v>
      </c>
      <c r="BX99" s="562">
        <v>4551</v>
      </c>
      <c r="BY99" s="562">
        <v>4789.7</v>
      </c>
      <c r="BZ99" s="105">
        <f>+BY99</f>
        <v>4789.7</v>
      </c>
      <c r="CA99" s="104">
        <f>BZ99-CA149-CA134</f>
        <v>5001.7829333432528</v>
      </c>
      <c r="CB99" s="104">
        <f>CA99-CB149-CB134</f>
        <v>5241.3627092183251</v>
      </c>
      <c r="CC99" s="104">
        <f>CB99-CC149-CC134</f>
        <v>5439.0736960919257</v>
      </c>
      <c r="CD99" s="104">
        <f>CC99-CD149-CD134</f>
        <v>5616.8787110409303</v>
      </c>
      <c r="CE99" s="105">
        <f>+CD99</f>
        <v>5616.8787110409303</v>
      </c>
      <c r="CF99" s="104">
        <f>CE99-CF149-CF134</f>
        <v>5752.959228089333</v>
      </c>
      <c r="CG99" s="104">
        <f>CF99-CG149-CG134</f>
        <v>5912.4773522300284</v>
      </c>
      <c r="CH99" s="104">
        <f>CG99-CH149-CH134</f>
        <v>6040.4814393844281</v>
      </c>
      <c r="CI99" s="104">
        <f>CH99-CI149-CI134</f>
        <v>6151.863263363065</v>
      </c>
      <c r="CJ99" s="105">
        <f>+CI99</f>
        <v>6151.863263363065</v>
      </c>
      <c r="CK99" s="104">
        <f>CJ99-CK149-CK134</f>
        <v>6185.9256924110014</v>
      </c>
      <c r="CL99" s="104">
        <f>CK99-CL149-CL134</f>
        <v>6238.5977840211699</v>
      </c>
      <c r="CM99" s="104">
        <f>CL99-CM149-CM134</f>
        <v>6271.5026928532225</v>
      </c>
      <c r="CN99" s="104">
        <f>CM99-CN149-CN134</f>
        <v>6291.7509288962292</v>
      </c>
      <c r="CO99" s="105">
        <f>+CN99</f>
        <v>6291.7509288962292</v>
      </c>
      <c r="CP99" s="104">
        <f>CO99-CP149-CP134</f>
        <v>6263.4335781888149</v>
      </c>
      <c r="CQ99" s="104">
        <f>CP99-CQ149-CQ134</f>
        <v>6249.6136836262485</v>
      </c>
      <c r="CR99" s="104">
        <f>CQ99-CR149-CR134</f>
        <v>6225.5792926601434</v>
      </c>
      <c r="CS99" s="104">
        <f>CR99-CS149-CS134</f>
        <v>6192.2625588815918</v>
      </c>
      <c r="CT99" s="105">
        <f>+CS99</f>
        <v>6192.2625588815918</v>
      </c>
      <c r="CU99" s="104">
        <f>CT99-CU149-CU134</f>
        <v>6170.0260480936295</v>
      </c>
      <c r="CV99" s="104">
        <f>CU99-CV149-CV134</f>
        <v>6162.4528503077927</v>
      </c>
      <c r="CW99" s="104">
        <f>CV99-CW149-CW134</f>
        <v>6143.7433824038017</v>
      </c>
      <c r="CX99" s="104">
        <f>CW99-CX149-CX134</f>
        <v>6115.5631143665069</v>
      </c>
      <c r="CY99" s="105">
        <f>+CX99</f>
        <v>6115.5631143665069</v>
      </c>
      <c r="CZ99" s="106"/>
      <c r="DB99" s="308"/>
      <c r="DC99" s="729"/>
      <c r="DD99" s="748"/>
      <c r="DG99" s="308"/>
      <c r="DH99" s="308"/>
      <c r="DI99" s="773"/>
      <c r="DJ99" s="730"/>
      <c r="DK99" s="730"/>
      <c r="DL99" s="730"/>
      <c r="DM99" s="730"/>
      <c r="DN99" s="730"/>
      <c r="DU99" s="48"/>
      <c r="DV99" s="48"/>
      <c r="DW99" s="730"/>
      <c r="DX99" s="730"/>
      <c r="DY99" s="730"/>
      <c r="DZ99" s="730"/>
      <c r="EA99" s="730"/>
    </row>
    <row r="100" spans="1:131" x14ac:dyDescent="0.2">
      <c r="A100" s="48" t="s">
        <v>114</v>
      </c>
      <c r="B100" s="48"/>
      <c r="C100" s="48"/>
      <c r="D100" s="108">
        <f>1382.889+838.919</f>
        <v>2221.808</v>
      </c>
      <c r="E100" s="108">
        <f>1305.218+834.331</f>
        <v>2139.549</v>
      </c>
      <c r="F100" s="108">
        <f>1546.38+701.267</f>
        <v>2247.6469999999999</v>
      </c>
      <c r="G100" s="108">
        <f>1540.637+744.978</f>
        <v>2285.6149999999998</v>
      </c>
      <c r="H100" s="105">
        <f>+G100</f>
        <v>2285.6149999999998</v>
      </c>
      <c r="I100" s="108">
        <f>1501.912+723.887</f>
        <v>2225.799</v>
      </c>
      <c r="J100" s="108">
        <f>1491.925+720.037</f>
        <v>2211.962</v>
      </c>
      <c r="K100" s="108">
        <f>1562.762+748.106</f>
        <v>2310.8679999999999</v>
      </c>
      <c r="L100" s="108">
        <f>2182.669+945.65</f>
        <v>3128.319</v>
      </c>
      <c r="M100" s="105">
        <f>+L100</f>
        <v>3128.319</v>
      </c>
      <c r="N100" s="108">
        <f>2118.576+929.15</f>
        <v>3047.7260000000001</v>
      </c>
      <c r="O100" s="108">
        <f>2174.225+886.983</f>
        <v>3061.2079999999996</v>
      </c>
      <c r="P100" s="108">
        <f>884.747+2184.486</f>
        <v>3069.2329999999997</v>
      </c>
      <c r="Q100" s="108">
        <f>883.88+2193.583</f>
        <v>3077.4630000000002</v>
      </c>
      <c r="R100" s="105">
        <f>+Q100</f>
        <v>3077.4630000000002</v>
      </c>
      <c r="S100" s="108">
        <f>886.9+2204.1</f>
        <v>3091</v>
      </c>
      <c r="T100" s="108">
        <f>1151.4+3085.3</f>
        <v>4236.7000000000007</v>
      </c>
      <c r="U100" s="108">
        <f>1161.3+3089.1</f>
        <v>4250.3999999999996</v>
      </c>
      <c r="V100" s="108">
        <f>1135.4+3083.9</f>
        <v>4219.3</v>
      </c>
      <c r="W100" s="105">
        <f>+V100</f>
        <v>4219.3</v>
      </c>
      <c r="X100" s="108">
        <f>1218.9+3348.9</f>
        <v>4567.8</v>
      </c>
      <c r="Y100" s="108">
        <f>1216.4+3354.4</f>
        <v>4570.8</v>
      </c>
      <c r="Z100" s="108">
        <f>1252.7+3427.9</f>
        <v>4680.6000000000004</v>
      </c>
      <c r="AA100" s="108">
        <f>+AB100</f>
        <v>4313.8999999999996</v>
      </c>
      <c r="AB100" s="105">
        <f>3123.9+1190</f>
        <v>4313.8999999999996</v>
      </c>
      <c r="AC100" s="108">
        <f>1171.5+3127.8</f>
        <v>4299.3</v>
      </c>
      <c r="AD100" s="108">
        <f>3049.8+1107.8</f>
        <v>4157.6000000000004</v>
      </c>
      <c r="AE100" s="108">
        <f>2915.2+1041</f>
        <v>3956.2</v>
      </c>
      <c r="AF100" s="108">
        <f>+AG100</f>
        <v>3615.6</v>
      </c>
      <c r="AG100" s="105">
        <f>2615+1000.6</f>
        <v>3615.6</v>
      </c>
      <c r="AH100" s="108">
        <f>2540.3+1019.7</f>
        <v>3560</v>
      </c>
      <c r="AI100" s="108">
        <f>2551.3+1025.3</f>
        <v>3576.6000000000004</v>
      </c>
      <c r="AJ100" s="108">
        <f>2571.5+1042.7</f>
        <v>3614.2</v>
      </c>
      <c r="AK100" s="108">
        <f>2570.6+925</f>
        <v>3495.6</v>
      </c>
      <c r="AL100" s="105">
        <f>+AK100</f>
        <v>3495.6</v>
      </c>
      <c r="AM100" s="108">
        <f>2570.9+922.7</f>
        <v>3493.6000000000004</v>
      </c>
      <c r="AN100" s="108">
        <f>2566.1+920.1</f>
        <v>3486.2</v>
      </c>
      <c r="AO100" s="104">
        <f>2590.2+922</f>
        <v>3512.2</v>
      </c>
      <c r="AP100" s="104">
        <f>2619.8+886.3</f>
        <v>3506.1000000000004</v>
      </c>
      <c r="AQ100" s="105">
        <f>+AP100</f>
        <v>3506.1000000000004</v>
      </c>
      <c r="AR100" s="108">
        <f>2632.6+896.4</f>
        <v>3529</v>
      </c>
      <c r="AS100" s="108">
        <f>2632.7+895.4</f>
        <v>3528.1</v>
      </c>
      <c r="AT100" s="135">
        <f>2602.2+897.6</f>
        <v>3499.7999999999997</v>
      </c>
      <c r="AU100" s="135">
        <f>2632.9+866.4</f>
        <v>3499.3</v>
      </c>
      <c r="AV100" s="105">
        <f>+AU100</f>
        <v>3499.3</v>
      </c>
      <c r="AW100" s="135">
        <f>2599.2+854.7</f>
        <v>3453.8999999999996</v>
      </c>
      <c r="AX100" s="108">
        <f>2739.3+878.2</f>
        <v>3617.5</v>
      </c>
      <c r="AY100" s="108">
        <f>2738.4+876.6</f>
        <v>3615</v>
      </c>
      <c r="AZ100" s="108">
        <f>2722.3+871.4</f>
        <v>3593.7000000000003</v>
      </c>
      <c r="BA100" s="105">
        <f>+AZ100</f>
        <v>3593.7000000000003</v>
      </c>
      <c r="BB100" s="108">
        <f>2714.5+866.2</f>
        <v>3580.7</v>
      </c>
      <c r="BC100" s="108">
        <f>6139.2+3243.9</f>
        <v>9383.1</v>
      </c>
      <c r="BD100" s="108">
        <f>6150+3237.2</f>
        <v>9387.2000000000007</v>
      </c>
      <c r="BE100" s="108">
        <f>6146.8+3231.1</f>
        <v>9377.9</v>
      </c>
      <c r="BF100" s="105">
        <f>+BE100</f>
        <v>9377.9</v>
      </c>
      <c r="BG100" s="108">
        <f>6153.1+3229.4</f>
        <v>9382.5</v>
      </c>
      <c r="BH100" s="108">
        <f>6149.3+3213.5</f>
        <v>9362.7999999999993</v>
      </c>
      <c r="BI100" s="108">
        <f>6163.9+3194.9</f>
        <v>9358.7999999999993</v>
      </c>
      <c r="BJ100" s="108">
        <f>6208.2+3181</f>
        <v>9389.2000000000007</v>
      </c>
      <c r="BK100" s="105">
        <f>+BJ100</f>
        <v>9389.2000000000007</v>
      </c>
      <c r="BL100" s="108">
        <f>6200.3+3166.7</f>
        <v>9367</v>
      </c>
      <c r="BM100" s="108">
        <f>6416.8+3188.7</f>
        <v>9605.5</v>
      </c>
      <c r="BN100" s="108">
        <f>6381.8+3187.8</f>
        <v>9569.6</v>
      </c>
      <c r="BO100" s="562">
        <f>7138.6+3403.8</f>
        <v>10542.400000000001</v>
      </c>
      <c r="BP100" s="105">
        <f>+BO100</f>
        <v>10542.400000000001</v>
      </c>
      <c r="BQ100" s="562">
        <f>3440.4+7350.2</f>
        <v>10790.6</v>
      </c>
      <c r="BR100" s="562">
        <f>7356.8+3441.5</f>
        <v>10798.3</v>
      </c>
      <c r="BS100" s="562">
        <f>7517.9+3494.2</f>
        <v>11012.099999999999</v>
      </c>
      <c r="BT100" s="562">
        <f>3377.7+7920.5</f>
        <v>11298.2</v>
      </c>
      <c r="BU100" s="105">
        <f>+BT100</f>
        <v>11298.2</v>
      </c>
      <c r="BV100" s="562">
        <f>7972.3+3289.7</f>
        <v>11262</v>
      </c>
      <c r="BW100" s="562">
        <f>8114.2+3309.1</f>
        <v>11423.3</v>
      </c>
      <c r="BX100" s="562">
        <f>3303.8+8085.7</f>
        <v>11389.5</v>
      </c>
      <c r="BY100" s="562">
        <f>8083.1+3304.8</f>
        <v>11387.900000000001</v>
      </c>
      <c r="BZ100" s="105">
        <f>+BY100</f>
        <v>11387.900000000001</v>
      </c>
      <c r="CA100" s="136">
        <f>+BY100</f>
        <v>11387.900000000001</v>
      </c>
      <c r="CB100" s="136">
        <f>+CA100</f>
        <v>11387.900000000001</v>
      </c>
      <c r="CC100" s="136">
        <f>+CB100</f>
        <v>11387.900000000001</v>
      </c>
      <c r="CD100" s="136">
        <f>+CC100</f>
        <v>11387.900000000001</v>
      </c>
      <c r="CE100" s="105">
        <f>+CD100</f>
        <v>11387.900000000001</v>
      </c>
      <c r="CF100" s="136">
        <f>+CD100</f>
        <v>11387.900000000001</v>
      </c>
      <c r="CG100" s="136">
        <f>+CF100</f>
        <v>11387.900000000001</v>
      </c>
      <c r="CH100" s="136">
        <f>+CG100</f>
        <v>11387.900000000001</v>
      </c>
      <c r="CI100" s="136">
        <f>+CH100</f>
        <v>11387.900000000001</v>
      </c>
      <c r="CJ100" s="105">
        <f>+CI100</f>
        <v>11387.900000000001</v>
      </c>
      <c r="CK100" s="136">
        <f>+CI100</f>
        <v>11387.900000000001</v>
      </c>
      <c r="CL100" s="136">
        <f>+CK100</f>
        <v>11387.900000000001</v>
      </c>
      <c r="CM100" s="136">
        <f>+CL100</f>
        <v>11387.900000000001</v>
      </c>
      <c r="CN100" s="136">
        <f>+CM100</f>
        <v>11387.900000000001</v>
      </c>
      <c r="CO100" s="105">
        <f>+CN100</f>
        <v>11387.900000000001</v>
      </c>
      <c r="CP100" s="136">
        <f>+CN100</f>
        <v>11387.900000000001</v>
      </c>
      <c r="CQ100" s="136">
        <f>+CP100</f>
        <v>11387.900000000001</v>
      </c>
      <c r="CR100" s="136">
        <f>+CQ100</f>
        <v>11387.900000000001</v>
      </c>
      <c r="CS100" s="136">
        <f>+CR100</f>
        <v>11387.900000000001</v>
      </c>
      <c r="CT100" s="105">
        <f>+CS100</f>
        <v>11387.900000000001</v>
      </c>
      <c r="CU100" s="136">
        <f>+CS100</f>
        <v>11387.900000000001</v>
      </c>
      <c r="CV100" s="136">
        <f>+CU100</f>
        <v>11387.900000000001</v>
      </c>
      <c r="CW100" s="136">
        <f>+CV100</f>
        <v>11387.900000000001</v>
      </c>
      <c r="CX100" s="136">
        <f>+CW100</f>
        <v>11387.900000000001</v>
      </c>
      <c r="CY100" s="105">
        <f>+CX100</f>
        <v>11387.900000000001</v>
      </c>
      <c r="CZ100" s="106"/>
      <c r="DB100" s="308"/>
      <c r="DC100" s="825"/>
      <c r="DG100" s="308"/>
      <c r="DH100" s="308"/>
      <c r="DI100" s="730"/>
      <c r="DJ100" s="730"/>
      <c r="DK100" s="730"/>
      <c r="DL100" s="730"/>
      <c r="DM100" s="730"/>
      <c r="DN100" s="730"/>
      <c r="DU100" s="48"/>
      <c r="DV100" s="48"/>
      <c r="DW100" s="730"/>
      <c r="DX100" s="730"/>
      <c r="DY100" s="730"/>
      <c r="DZ100" s="730"/>
      <c r="EA100" s="730"/>
    </row>
    <row r="101" spans="1:131" x14ac:dyDescent="0.2">
      <c r="A101" s="48" t="s">
        <v>115</v>
      </c>
      <c r="B101" s="48"/>
      <c r="C101" s="48"/>
      <c r="D101" s="205">
        <v>105.795</v>
      </c>
      <c r="E101" s="205">
        <v>96.983000000000004</v>
      </c>
      <c r="F101" s="205">
        <v>112.255</v>
      </c>
      <c r="G101" s="205">
        <v>104.22499999999999</v>
      </c>
      <c r="H101" s="208">
        <f>+G101</f>
        <v>104.22499999999999</v>
      </c>
      <c r="I101" s="205">
        <v>82.334000000000003</v>
      </c>
      <c r="J101" s="205">
        <v>87.813999999999993</v>
      </c>
      <c r="K101" s="205">
        <v>96.819000000000003</v>
      </c>
      <c r="L101" s="205">
        <v>345.45100000000002</v>
      </c>
      <c r="M101" s="208">
        <f>+L101</f>
        <v>345.45100000000002</v>
      </c>
      <c r="N101" s="205">
        <v>285.06799999999998</v>
      </c>
      <c r="O101" s="205">
        <v>227.92400000000001</v>
      </c>
      <c r="P101" s="205">
        <v>222.423</v>
      </c>
      <c r="Q101" s="203">
        <f>196.938</f>
        <v>196.93799999999999</v>
      </c>
      <c r="R101" s="208">
        <f>+Q101</f>
        <v>196.93799999999999</v>
      </c>
      <c r="S101" s="203">
        <f>216.3</f>
        <v>216.3</v>
      </c>
      <c r="T101" s="203">
        <f>241.3</f>
        <v>241.3</v>
      </c>
      <c r="U101" s="203">
        <f>252.4</f>
        <v>252.4</v>
      </c>
      <c r="V101" s="203">
        <f>445.4</f>
        <v>445.4</v>
      </c>
      <c r="W101" s="208">
        <f>+V101</f>
        <v>445.4</v>
      </c>
      <c r="X101" s="203">
        <f>604.9</f>
        <v>604.9</v>
      </c>
      <c r="Y101" s="203">
        <f>544.3</f>
        <v>544.29999999999995</v>
      </c>
      <c r="Z101" s="203">
        <f>573.6</f>
        <v>573.6</v>
      </c>
      <c r="AA101" s="205">
        <f>+AB101</f>
        <v>504.9</v>
      </c>
      <c r="AB101" s="204">
        <v>504.9</v>
      </c>
      <c r="AC101" s="203">
        <f>521.3</f>
        <v>521.29999999999995</v>
      </c>
      <c r="AD101" s="203">
        <v>473.5</v>
      </c>
      <c r="AE101" s="203">
        <v>424.1</v>
      </c>
      <c r="AF101" s="205">
        <f>+AG101</f>
        <v>338.9</v>
      </c>
      <c r="AG101" s="208">
        <v>338.9</v>
      </c>
      <c r="AH101" s="205">
        <v>441.8</v>
      </c>
      <c r="AI101" s="205">
        <v>416.2</v>
      </c>
      <c r="AJ101" s="205">
        <v>371.3</v>
      </c>
      <c r="AK101" s="205">
        <v>442.4</v>
      </c>
      <c r="AL101" s="208">
        <f>+AK101</f>
        <v>442.4</v>
      </c>
      <c r="AM101" s="205">
        <v>317.60000000000002</v>
      </c>
      <c r="AN101" s="205">
        <v>301.89999999999998</v>
      </c>
      <c r="AO101" s="203">
        <v>344.7</v>
      </c>
      <c r="AP101" s="203">
        <v>358.9</v>
      </c>
      <c r="AQ101" s="208">
        <f>+AP101</f>
        <v>358.9</v>
      </c>
      <c r="AR101" s="205">
        <v>359.6</v>
      </c>
      <c r="AS101" s="205">
        <v>346</v>
      </c>
      <c r="AT101" s="209">
        <v>295.2</v>
      </c>
      <c r="AU101" s="209">
        <v>320.5</v>
      </c>
      <c r="AV101" s="208">
        <f>+AU101</f>
        <v>320.5</v>
      </c>
      <c r="AW101" s="209">
        <v>363.8</v>
      </c>
      <c r="AX101" s="205">
        <f>361.6+650</f>
        <v>1011.6</v>
      </c>
      <c r="AY101" s="205">
        <f>650.3+340.1</f>
        <v>990.4</v>
      </c>
      <c r="AZ101" s="205">
        <v>344.2</v>
      </c>
      <c r="BA101" s="208">
        <f>+AZ101</f>
        <v>344.2</v>
      </c>
      <c r="BB101" s="205">
        <f>1550+390.8</f>
        <v>1940.8</v>
      </c>
      <c r="BC101" s="205">
        <v>199.2</v>
      </c>
      <c r="BD101" s="205">
        <v>208.3</v>
      </c>
      <c r="BE101" s="205">
        <v>162.69999999999999</v>
      </c>
      <c r="BF101" s="208">
        <f>+BE101</f>
        <v>162.69999999999999</v>
      </c>
      <c r="BG101" s="205">
        <v>165.6</v>
      </c>
      <c r="BH101" s="205">
        <v>156.6</v>
      </c>
      <c r="BI101" s="205">
        <v>171.8</v>
      </c>
      <c r="BJ101" s="205">
        <v>162.9</v>
      </c>
      <c r="BK101" s="208">
        <f>+BJ101</f>
        <v>162.9</v>
      </c>
      <c r="BL101" s="205">
        <v>158.9</v>
      </c>
      <c r="BM101" s="205">
        <v>163.1</v>
      </c>
      <c r="BN101" s="205">
        <v>177.1</v>
      </c>
      <c r="BO101" s="563">
        <v>111.6</v>
      </c>
      <c r="BP101" s="208">
        <f>+BO101</f>
        <v>111.6</v>
      </c>
      <c r="BQ101" s="563">
        <v>113.7</v>
      </c>
      <c r="BR101" s="563">
        <v>117.2</v>
      </c>
      <c r="BS101" s="563">
        <v>155.19999999999999</v>
      </c>
      <c r="BT101" s="563">
        <v>141.4</v>
      </c>
      <c r="BU101" s="208">
        <f>+BT101</f>
        <v>141.4</v>
      </c>
      <c r="BV101" s="563">
        <v>150</v>
      </c>
      <c r="BW101" s="563">
        <v>157.5</v>
      </c>
      <c r="BX101" s="563">
        <v>621</v>
      </c>
      <c r="BY101" s="563">
        <v>887.1</v>
      </c>
      <c r="BZ101" s="208">
        <f>+BY101</f>
        <v>887.1</v>
      </c>
      <c r="CA101" s="210">
        <f>+BZ101-CA137</f>
        <v>887.1</v>
      </c>
      <c r="CB101" s="210">
        <f>+CA101-CB137</f>
        <v>887.1</v>
      </c>
      <c r="CC101" s="210">
        <f>+CB101-CC137</f>
        <v>887.1</v>
      </c>
      <c r="CD101" s="210">
        <f>+CC101-CD137</f>
        <v>887.1</v>
      </c>
      <c r="CE101" s="208">
        <f>+CD101</f>
        <v>887.1</v>
      </c>
      <c r="CF101" s="210">
        <f t="shared" ref="CF101:CX101" si="125">+CE101-CF137</f>
        <v>887.1</v>
      </c>
      <c r="CG101" s="210">
        <f t="shared" si="125"/>
        <v>887.1</v>
      </c>
      <c r="CH101" s="210">
        <f t="shared" si="125"/>
        <v>887.1</v>
      </c>
      <c r="CI101" s="210">
        <f t="shared" si="125"/>
        <v>887.1</v>
      </c>
      <c r="CJ101" s="208">
        <f>+CI101</f>
        <v>887.1</v>
      </c>
      <c r="CK101" s="210">
        <f t="shared" si="125"/>
        <v>887.1</v>
      </c>
      <c r="CL101" s="210">
        <f t="shared" si="125"/>
        <v>887.1</v>
      </c>
      <c r="CM101" s="210">
        <f t="shared" si="125"/>
        <v>887.1</v>
      </c>
      <c r="CN101" s="210">
        <f t="shared" si="125"/>
        <v>887.1</v>
      </c>
      <c r="CO101" s="208">
        <f>+CN101</f>
        <v>887.1</v>
      </c>
      <c r="CP101" s="210">
        <f t="shared" si="125"/>
        <v>887.1</v>
      </c>
      <c r="CQ101" s="210">
        <f t="shared" si="125"/>
        <v>887.1</v>
      </c>
      <c r="CR101" s="210">
        <f t="shared" si="125"/>
        <v>887.1</v>
      </c>
      <c r="CS101" s="210">
        <f t="shared" si="125"/>
        <v>887.1</v>
      </c>
      <c r="CT101" s="208">
        <f>+CS101</f>
        <v>887.1</v>
      </c>
      <c r="CU101" s="210">
        <f t="shared" si="125"/>
        <v>887.1</v>
      </c>
      <c r="CV101" s="210">
        <f t="shared" si="125"/>
        <v>887.1</v>
      </c>
      <c r="CW101" s="210">
        <f t="shared" si="125"/>
        <v>887.1</v>
      </c>
      <c r="CX101" s="210">
        <f t="shared" si="125"/>
        <v>887.1</v>
      </c>
      <c r="CY101" s="208">
        <f>+CX101</f>
        <v>887.1</v>
      </c>
      <c r="CZ101" s="211"/>
      <c r="DB101" s="308"/>
      <c r="DC101" s="825"/>
      <c r="DG101" s="308"/>
      <c r="DH101" s="308"/>
      <c r="DI101" s="730"/>
      <c r="DJ101" s="730"/>
      <c r="DK101" s="730"/>
      <c r="DL101" s="730"/>
      <c r="DM101" s="730"/>
      <c r="DN101" s="730"/>
      <c r="DU101" s="48"/>
      <c r="DV101" s="48"/>
      <c r="DW101" s="730"/>
      <c r="DX101" s="730"/>
      <c r="DY101" s="730"/>
      <c r="DZ101" s="730"/>
      <c r="EA101" s="730"/>
    </row>
    <row r="102" spans="1:131" x14ac:dyDescent="0.2">
      <c r="A102" s="78"/>
      <c r="B102" s="78" t="s">
        <v>116</v>
      </c>
      <c r="C102" s="78"/>
      <c r="D102" s="84">
        <f t="shared" ref="D102:AI102" si="126">+D97+D99+D100+D101</f>
        <v>5358.9560000000001</v>
      </c>
      <c r="E102" s="84">
        <f t="shared" si="126"/>
        <v>5198.6900000000005</v>
      </c>
      <c r="F102" s="84">
        <f t="shared" si="126"/>
        <v>5624.28</v>
      </c>
      <c r="G102" s="84">
        <f t="shared" si="126"/>
        <v>5558.6730000000007</v>
      </c>
      <c r="H102" s="85">
        <f t="shared" si="126"/>
        <v>5558.6730000000007</v>
      </c>
      <c r="I102" s="84">
        <f t="shared" si="126"/>
        <v>5549.0739999999996</v>
      </c>
      <c r="J102" s="84">
        <f t="shared" si="126"/>
        <v>5655.65</v>
      </c>
      <c r="K102" s="84">
        <f t="shared" si="126"/>
        <v>6079.8840000000009</v>
      </c>
      <c r="L102" s="84">
        <f t="shared" si="126"/>
        <v>7804.1719999999996</v>
      </c>
      <c r="M102" s="85">
        <f t="shared" si="126"/>
        <v>7804.1719999999996</v>
      </c>
      <c r="N102" s="84">
        <f t="shared" si="126"/>
        <v>7501.4440000000004</v>
      </c>
      <c r="O102" s="84">
        <f t="shared" si="126"/>
        <v>7463.3729999999996</v>
      </c>
      <c r="P102" s="87">
        <f t="shared" si="126"/>
        <v>7702.5050000000001</v>
      </c>
      <c r="Q102" s="84">
        <f t="shared" si="126"/>
        <v>7400.5540000000001</v>
      </c>
      <c r="R102" s="85">
        <f t="shared" si="126"/>
        <v>7400.5540000000001</v>
      </c>
      <c r="S102" s="84">
        <f t="shared" si="126"/>
        <v>7671.5</v>
      </c>
      <c r="T102" s="84">
        <f t="shared" si="126"/>
        <v>9448.7000000000007</v>
      </c>
      <c r="U102" s="84">
        <f t="shared" si="126"/>
        <v>9845.2999999999993</v>
      </c>
      <c r="V102" s="84">
        <f t="shared" si="126"/>
        <v>9438.1999999999989</v>
      </c>
      <c r="W102" s="85">
        <f t="shared" si="126"/>
        <v>9438.1999999999989</v>
      </c>
      <c r="X102" s="84">
        <f t="shared" si="126"/>
        <v>9826.1999999999989</v>
      </c>
      <c r="Y102" s="84">
        <f t="shared" si="126"/>
        <v>9731.0999999999985</v>
      </c>
      <c r="Z102" s="84">
        <f t="shared" si="126"/>
        <v>10193.6</v>
      </c>
      <c r="AA102" s="87">
        <f t="shared" si="126"/>
        <v>10052.799999999999</v>
      </c>
      <c r="AB102" s="85">
        <f t="shared" si="126"/>
        <v>10052.799999999999</v>
      </c>
      <c r="AC102" s="84">
        <f t="shared" si="126"/>
        <v>10156.299999999999</v>
      </c>
      <c r="AD102" s="84">
        <f t="shared" si="126"/>
        <v>9421.7999999999993</v>
      </c>
      <c r="AE102" s="84">
        <f t="shared" si="126"/>
        <v>9108.5</v>
      </c>
      <c r="AF102" s="87">
        <f t="shared" si="126"/>
        <v>8036.5</v>
      </c>
      <c r="AG102" s="85">
        <f t="shared" si="126"/>
        <v>8036.5</v>
      </c>
      <c r="AH102" s="87">
        <f t="shared" si="126"/>
        <v>8401.5</v>
      </c>
      <c r="AI102" s="87">
        <f t="shared" si="126"/>
        <v>8433.9000000000015</v>
      </c>
      <c r="AJ102" s="84">
        <f t="shared" ref="AJ102:BO102" si="127">+AJ97+AJ99+AJ100+AJ101</f>
        <v>8728.5999999999985</v>
      </c>
      <c r="AK102" s="87">
        <f t="shared" si="127"/>
        <v>8094.2999999999993</v>
      </c>
      <c r="AL102" s="85">
        <f t="shared" si="127"/>
        <v>8094.2999999999993</v>
      </c>
      <c r="AM102" s="84">
        <f t="shared" si="127"/>
        <v>7896.1</v>
      </c>
      <c r="AN102" s="84">
        <f t="shared" si="127"/>
        <v>7877.0999999999995</v>
      </c>
      <c r="AO102" s="84">
        <f t="shared" si="127"/>
        <v>8257.7999999999993</v>
      </c>
      <c r="AP102" s="84">
        <f t="shared" si="127"/>
        <v>7167.6</v>
      </c>
      <c r="AQ102" s="85">
        <f t="shared" si="127"/>
        <v>7167.6</v>
      </c>
      <c r="AR102" s="84">
        <f t="shared" si="127"/>
        <v>7075.4000000000005</v>
      </c>
      <c r="AS102" s="84">
        <f t="shared" si="127"/>
        <v>7034.7000000000007</v>
      </c>
      <c r="AT102" s="86">
        <f t="shared" si="127"/>
        <v>7225.2</v>
      </c>
      <c r="AU102" s="86">
        <f t="shared" si="127"/>
        <v>7109.9000000000005</v>
      </c>
      <c r="AV102" s="85">
        <f t="shared" si="127"/>
        <v>7109.9000000000005</v>
      </c>
      <c r="AW102" s="86">
        <f t="shared" si="127"/>
        <v>7008.2</v>
      </c>
      <c r="AX102" s="84">
        <f t="shared" si="127"/>
        <v>8040.5</v>
      </c>
      <c r="AY102" s="84">
        <f t="shared" si="127"/>
        <v>8322.7000000000007</v>
      </c>
      <c r="AZ102" s="84">
        <f t="shared" si="127"/>
        <v>7638.1</v>
      </c>
      <c r="BA102" s="85">
        <f t="shared" si="127"/>
        <v>7638.1</v>
      </c>
      <c r="BB102" s="84">
        <f t="shared" si="127"/>
        <v>9452.4</v>
      </c>
      <c r="BC102" s="84">
        <f t="shared" si="127"/>
        <v>14122.800000000001</v>
      </c>
      <c r="BD102" s="84">
        <f t="shared" si="127"/>
        <v>14336.3</v>
      </c>
      <c r="BE102" s="87">
        <f t="shared" si="127"/>
        <v>14302.1</v>
      </c>
      <c r="BF102" s="85">
        <f t="shared" si="127"/>
        <v>14302.1</v>
      </c>
      <c r="BG102" s="87">
        <f t="shared" si="127"/>
        <v>14842.4</v>
      </c>
      <c r="BH102" s="87">
        <f t="shared" si="127"/>
        <v>14657.4</v>
      </c>
      <c r="BI102" s="87">
        <f t="shared" si="127"/>
        <v>14980.499999999998</v>
      </c>
      <c r="BJ102" s="87">
        <f t="shared" si="127"/>
        <v>15144.5</v>
      </c>
      <c r="BK102" s="85">
        <f t="shared" si="127"/>
        <v>15144.5</v>
      </c>
      <c r="BL102" s="87">
        <f t="shared" si="127"/>
        <v>15247.3</v>
      </c>
      <c r="BM102" s="87">
        <f t="shared" si="127"/>
        <v>15673.4</v>
      </c>
      <c r="BN102" s="87">
        <f t="shared" si="127"/>
        <v>16156.6</v>
      </c>
      <c r="BO102" s="87">
        <f t="shared" si="127"/>
        <v>16965</v>
      </c>
      <c r="BP102" s="85">
        <f t="shared" ref="BP102:BX102" si="128">+BP97+BP99+BP100+BP101</f>
        <v>16965</v>
      </c>
      <c r="BQ102" s="87">
        <f t="shared" si="128"/>
        <v>17630</v>
      </c>
      <c r="BR102" s="87">
        <f t="shared" si="128"/>
        <v>17717.399999999998</v>
      </c>
      <c r="BS102" s="87">
        <f t="shared" si="128"/>
        <v>18320.099999999999</v>
      </c>
      <c r="BT102" s="87">
        <f t="shared" si="128"/>
        <v>18602.400000000001</v>
      </c>
      <c r="BU102" s="85">
        <f t="shared" si="128"/>
        <v>18602.400000000001</v>
      </c>
      <c r="BV102" s="87">
        <f t="shared" si="128"/>
        <v>18959.400000000001</v>
      </c>
      <c r="BW102" s="87">
        <f t="shared" si="128"/>
        <v>19418.400000000001</v>
      </c>
      <c r="BX102" s="87">
        <f t="shared" si="128"/>
        <v>20107.099999999999</v>
      </c>
      <c r="BY102" s="87">
        <f>+BY97+BY99+BY100+BY101</f>
        <v>20538.7</v>
      </c>
      <c r="BZ102" s="85">
        <f>+BZ97+BZ99+BZ100+BZ101</f>
        <v>20538.7</v>
      </c>
      <c r="CA102" s="84">
        <f t="shared" ref="CA102:CY102" ca="1" si="129">+CA97+CA99+CA100+CA101</f>
        <v>20719.700123816965</v>
      </c>
      <c r="CB102" s="84">
        <f t="shared" ca="1" si="129"/>
        <v>21060.839902036707</v>
      </c>
      <c r="CC102" s="84">
        <f t="shared" ca="1" si="129"/>
        <v>21447.868761791429</v>
      </c>
      <c r="CD102" s="84">
        <f t="shared" ca="1" si="129"/>
        <v>21545.437974927496</v>
      </c>
      <c r="CE102" s="85">
        <f t="shared" ca="1" si="129"/>
        <v>21545.437974927496</v>
      </c>
      <c r="CF102" s="84">
        <f t="shared" ca="1" si="129"/>
        <v>21621.691198980985</v>
      </c>
      <c r="CG102" s="84">
        <f t="shared" ca="1" si="129"/>
        <v>21886.428427299099</v>
      </c>
      <c r="CH102" s="84">
        <f t="shared" ca="1" si="129"/>
        <v>22200.367814090387</v>
      </c>
      <c r="CI102" s="84">
        <f t="shared" ca="1" si="129"/>
        <v>22229.370567252932</v>
      </c>
      <c r="CJ102" s="85">
        <f t="shared" ca="1" si="129"/>
        <v>22229.370567252932</v>
      </c>
      <c r="CK102" s="84">
        <f t="shared" ca="1" si="129"/>
        <v>22194.738464512448</v>
      </c>
      <c r="CL102" s="84">
        <f t="shared" ca="1" si="129"/>
        <v>22355.163017224237</v>
      </c>
      <c r="CM102" s="84">
        <f t="shared" ca="1" si="129"/>
        <v>22576.056612085624</v>
      </c>
      <c r="CN102" s="84">
        <f t="shared" ca="1" si="129"/>
        <v>22510.82154208561</v>
      </c>
      <c r="CO102" s="85">
        <f t="shared" ca="1" si="129"/>
        <v>22510.82154208561</v>
      </c>
      <c r="CP102" s="84">
        <f t="shared" ca="1" si="129"/>
        <v>22441.146417845281</v>
      </c>
      <c r="CQ102" s="84">
        <f t="shared" ca="1" si="129"/>
        <v>22540.258883942501</v>
      </c>
      <c r="CR102" s="84">
        <f t="shared" ca="1" si="129"/>
        <v>22703.593555778883</v>
      </c>
      <c r="CS102" s="84">
        <f t="shared" ca="1" si="129"/>
        <v>22581.151035481955</v>
      </c>
      <c r="CT102" s="85">
        <f t="shared" ca="1" si="129"/>
        <v>22581.151035481955</v>
      </c>
      <c r="CU102" s="84">
        <f t="shared" ca="1" si="129"/>
        <v>22508.770576919771</v>
      </c>
      <c r="CV102" s="84">
        <f t="shared" ca="1" si="129"/>
        <v>22619.129766155773</v>
      </c>
      <c r="CW102" s="84">
        <f t="shared" ca="1" si="129"/>
        <v>22786.804357737841</v>
      </c>
      <c r="CX102" s="84">
        <f t="shared" ca="1" si="129"/>
        <v>22666.131516289923</v>
      </c>
      <c r="CY102" s="85">
        <f t="shared" ca="1" si="129"/>
        <v>22666.131516289923</v>
      </c>
      <c r="CZ102" s="86"/>
      <c r="DA102" s="7"/>
      <c r="DB102" s="738"/>
      <c r="DC102" s="797"/>
      <c r="DD102" s="7"/>
      <c r="DE102" s="734"/>
      <c r="DF102" s="7"/>
      <c r="DG102" s="738"/>
      <c r="DH102" s="738"/>
      <c r="DI102" s="733"/>
      <c r="DJ102" s="733"/>
      <c r="DK102" s="733"/>
      <c r="DL102" s="733"/>
      <c r="DM102" s="733"/>
      <c r="DN102" s="733"/>
      <c r="DU102" s="78"/>
      <c r="DV102" s="78"/>
      <c r="DW102" s="733"/>
      <c r="DX102" s="733"/>
      <c r="DY102" s="733"/>
      <c r="DZ102" s="733"/>
      <c r="EA102" s="733"/>
    </row>
    <row r="103" spans="1:131" x14ac:dyDescent="0.2">
      <c r="A103" s="48"/>
      <c r="B103" s="48"/>
      <c r="C103" s="48"/>
      <c r="D103" s="104"/>
      <c r="E103" s="104"/>
      <c r="F103" s="104"/>
      <c r="G103" s="104"/>
      <c r="H103" s="105"/>
      <c r="I103" s="104"/>
      <c r="J103" s="104"/>
      <c r="K103" s="104"/>
      <c r="L103" s="104"/>
      <c r="M103" s="105"/>
      <c r="N103" s="104"/>
      <c r="O103" s="104"/>
      <c r="P103" s="104"/>
      <c r="Q103" s="104"/>
      <c r="R103" s="105"/>
      <c r="S103" s="104"/>
      <c r="T103" s="104"/>
      <c r="U103" s="104"/>
      <c r="V103" s="104"/>
      <c r="W103" s="105"/>
      <c r="X103" s="104"/>
      <c r="Y103" s="104"/>
      <c r="Z103" s="104"/>
      <c r="AA103" s="108"/>
      <c r="AB103" s="105"/>
      <c r="AC103" s="104"/>
      <c r="AD103" s="104"/>
      <c r="AE103" s="104"/>
      <c r="AF103" s="108"/>
      <c r="AG103" s="105"/>
      <c r="AH103" s="108"/>
      <c r="AI103" s="108"/>
      <c r="AJ103" s="104"/>
      <c r="AK103" s="108"/>
      <c r="AL103" s="105"/>
      <c r="AM103" s="104"/>
      <c r="AN103" s="104"/>
      <c r="AO103" s="104"/>
      <c r="AP103" s="104"/>
      <c r="AQ103" s="105"/>
      <c r="AR103" s="104"/>
      <c r="AS103" s="104"/>
      <c r="AT103" s="106"/>
      <c r="AU103" s="106"/>
      <c r="AV103" s="105"/>
      <c r="AW103" s="104"/>
      <c r="AX103" s="104"/>
      <c r="AY103" s="104"/>
      <c r="AZ103" s="104"/>
      <c r="BA103" s="105"/>
      <c r="BB103" s="104"/>
      <c r="BC103" s="104"/>
      <c r="BD103" s="104"/>
      <c r="BE103" s="104"/>
      <c r="BF103" s="105"/>
      <c r="BG103" s="108"/>
      <c r="BH103" s="108"/>
      <c r="BI103" s="108"/>
      <c r="BJ103" s="108"/>
      <c r="BK103" s="105"/>
      <c r="BL103" s="108"/>
      <c r="BM103" s="108"/>
      <c r="BN103" s="104"/>
      <c r="BO103" s="562"/>
      <c r="BP103" s="105"/>
      <c r="BQ103" s="562"/>
      <c r="BR103" s="562"/>
      <c r="BS103" s="562"/>
      <c r="BT103" s="562"/>
      <c r="BU103" s="105"/>
      <c r="BV103" s="562"/>
      <c r="BW103" s="562"/>
      <c r="BX103" s="562"/>
      <c r="BY103" s="562"/>
      <c r="BZ103" s="105"/>
      <c r="CA103" s="104"/>
      <c r="CB103" s="104"/>
      <c r="CC103" s="104"/>
      <c r="CD103" s="104"/>
      <c r="CE103" s="105"/>
      <c r="CF103" s="104"/>
      <c r="CG103" s="104"/>
      <c r="CH103" s="104"/>
      <c r="CI103" s="104"/>
      <c r="CJ103" s="105"/>
      <c r="CK103" s="104"/>
      <c r="CL103" s="104"/>
      <c r="CM103" s="104"/>
      <c r="CN103" s="104"/>
      <c r="CO103" s="105"/>
      <c r="CP103" s="104"/>
      <c r="CQ103" s="104"/>
      <c r="CR103" s="104"/>
      <c r="CS103" s="104"/>
      <c r="CT103" s="105"/>
      <c r="CU103" s="104"/>
      <c r="CV103" s="104"/>
      <c r="CW103" s="104"/>
      <c r="CX103" s="104"/>
      <c r="CY103" s="105"/>
      <c r="CZ103" s="106"/>
      <c r="DB103" s="308"/>
      <c r="DC103" s="729"/>
      <c r="DG103" s="308"/>
      <c r="DH103" s="308"/>
      <c r="DI103" s="730"/>
      <c r="DJ103" s="730"/>
      <c r="DK103" s="730"/>
      <c r="DL103" s="730"/>
      <c r="DM103" s="730"/>
      <c r="DN103" s="730"/>
      <c r="DU103" s="48"/>
      <c r="DV103" s="48"/>
      <c r="DW103" s="730"/>
      <c r="DX103" s="730"/>
      <c r="DY103" s="730"/>
      <c r="DZ103" s="730"/>
      <c r="EA103" s="730"/>
    </row>
    <row r="104" spans="1:131" x14ac:dyDescent="0.2">
      <c r="A104" s="78" t="s">
        <v>117</v>
      </c>
      <c r="B104" s="78"/>
      <c r="C104" s="48"/>
      <c r="D104" s="104"/>
      <c r="E104" s="104"/>
      <c r="F104" s="104"/>
      <c r="G104" s="104"/>
      <c r="H104" s="105"/>
      <c r="I104" s="104"/>
      <c r="J104" s="104"/>
      <c r="K104" s="104"/>
      <c r="L104" s="104"/>
      <c r="M104" s="105"/>
      <c r="N104" s="104"/>
      <c r="O104" s="104"/>
      <c r="P104" s="104"/>
      <c r="Q104" s="104"/>
      <c r="R104" s="105"/>
      <c r="S104" s="104"/>
      <c r="T104" s="104"/>
      <c r="U104" s="104"/>
      <c r="V104" s="104"/>
      <c r="W104" s="105"/>
      <c r="X104" s="104"/>
      <c r="Y104" s="104"/>
      <c r="Z104" s="104"/>
      <c r="AA104" s="108"/>
      <c r="AB104" s="105"/>
      <c r="AC104" s="104"/>
      <c r="AD104" s="104"/>
      <c r="AE104" s="104"/>
      <c r="AF104" s="108"/>
      <c r="AG104" s="105"/>
      <c r="AH104" s="108"/>
      <c r="AI104" s="108"/>
      <c r="AJ104" s="104"/>
      <c r="AK104" s="108"/>
      <c r="AL104" s="105"/>
      <c r="AM104" s="104"/>
      <c r="AN104" s="104"/>
      <c r="AO104" s="104"/>
      <c r="AP104" s="104"/>
      <c r="AQ104" s="105"/>
      <c r="AR104" s="104"/>
      <c r="AS104" s="104"/>
      <c r="AT104" s="106"/>
      <c r="AU104" s="106"/>
      <c r="AV104" s="105"/>
      <c r="AW104" s="104"/>
      <c r="AX104" s="104"/>
      <c r="AY104" s="104"/>
      <c r="AZ104" s="104"/>
      <c r="BA104" s="105"/>
      <c r="BB104" s="104"/>
      <c r="BC104" s="104"/>
      <c r="BD104" s="104"/>
      <c r="BE104" s="104"/>
      <c r="BF104" s="105"/>
      <c r="BG104" s="108"/>
      <c r="BH104" s="108"/>
      <c r="BI104" s="108"/>
      <c r="BJ104" s="108"/>
      <c r="BK104" s="105"/>
      <c r="BL104" s="108"/>
      <c r="BM104" s="108"/>
      <c r="BN104" s="555"/>
      <c r="BO104" s="562"/>
      <c r="BP104" s="105"/>
      <c r="BQ104" s="562"/>
      <c r="BR104" s="562"/>
      <c r="BS104" s="562"/>
      <c r="BT104" s="562"/>
      <c r="BU104" s="105"/>
      <c r="BV104" s="562"/>
      <c r="BW104" s="562"/>
      <c r="BX104" s="562"/>
      <c r="BY104" s="562"/>
      <c r="BZ104" s="105"/>
      <c r="CA104" s="104"/>
      <c r="CB104" s="104"/>
      <c r="CC104" s="104"/>
      <c r="CD104" s="104"/>
      <c r="CE104" s="105"/>
      <c r="CF104" s="104"/>
      <c r="CG104" s="104"/>
      <c r="CH104" s="104"/>
      <c r="CI104" s="104"/>
      <c r="CJ104" s="105"/>
      <c r="CK104" s="104"/>
      <c r="CL104" s="104"/>
      <c r="CM104" s="104"/>
      <c r="CN104" s="104"/>
      <c r="CO104" s="105"/>
      <c r="CP104" s="104"/>
      <c r="CQ104" s="104"/>
      <c r="CR104" s="104"/>
      <c r="CS104" s="104"/>
      <c r="CT104" s="105"/>
      <c r="CU104" s="104"/>
      <c r="CV104" s="104"/>
      <c r="CW104" s="104"/>
      <c r="CX104" s="104"/>
      <c r="CY104" s="105"/>
      <c r="CZ104" s="106"/>
      <c r="DB104" s="308"/>
      <c r="DC104" s="729"/>
      <c r="DG104" s="308"/>
      <c r="DH104" s="308"/>
      <c r="DI104" s="730"/>
      <c r="DJ104" s="730"/>
      <c r="DK104" s="730"/>
      <c r="DL104" s="730"/>
      <c r="DM104" s="730"/>
      <c r="DN104" s="730"/>
      <c r="DU104" s="48"/>
      <c r="DV104" s="48"/>
      <c r="DW104" s="730"/>
      <c r="DX104" s="730"/>
      <c r="DY104" s="730"/>
      <c r="DZ104" s="730"/>
      <c r="EA104" s="730"/>
    </row>
    <row r="105" spans="1:131" x14ac:dyDescent="0.2">
      <c r="A105" s="418" t="s">
        <v>118</v>
      </c>
      <c r="B105" s="418"/>
      <c r="C105" s="48"/>
      <c r="D105" s="108">
        <v>16.262</v>
      </c>
      <c r="E105" s="108">
        <v>35.091999999999999</v>
      </c>
      <c r="F105" s="108">
        <v>168.041</v>
      </c>
      <c r="G105" s="108">
        <v>1.792</v>
      </c>
      <c r="H105" s="107">
        <f>+G105</f>
        <v>1.792</v>
      </c>
      <c r="I105" s="108">
        <v>243.55199999999999</v>
      </c>
      <c r="J105" s="108">
        <v>193.596</v>
      </c>
      <c r="K105" s="108">
        <v>226.05799999999999</v>
      </c>
      <c r="L105" s="108">
        <v>16.475000000000001</v>
      </c>
      <c r="M105" s="107">
        <f>+L105</f>
        <v>16.475000000000001</v>
      </c>
      <c r="N105" s="108">
        <v>62.606999999999999</v>
      </c>
      <c r="O105" s="108">
        <v>71.509</v>
      </c>
      <c r="P105" s="108">
        <v>127.745</v>
      </c>
      <c r="Q105" s="108">
        <v>79.881</v>
      </c>
      <c r="R105" s="107">
        <f>+Q105</f>
        <v>79.881</v>
      </c>
      <c r="S105" s="108">
        <v>164.3</v>
      </c>
      <c r="T105" s="108">
        <v>313.3</v>
      </c>
      <c r="U105" s="108">
        <v>316.8</v>
      </c>
      <c r="V105" s="108">
        <v>153.30000000000001</v>
      </c>
      <c r="W105" s="107">
        <f>+V105</f>
        <v>153.30000000000001</v>
      </c>
      <c r="X105" s="108">
        <v>242.3</v>
      </c>
      <c r="Y105" s="108">
        <v>149.80000000000001</v>
      </c>
      <c r="Z105" s="108">
        <v>101.7</v>
      </c>
      <c r="AA105" s="108">
        <f>+AB105</f>
        <v>379.5</v>
      </c>
      <c r="AB105" s="107">
        <v>379.5</v>
      </c>
      <c r="AC105" s="108">
        <v>464.9</v>
      </c>
      <c r="AD105" s="108">
        <v>87</v>
      </c>
      <c r="AE105" s="108">
        <v>206</v>
      </c>
      <c r="AF105" s="108">
        <f>+AG105</f>
        <v>227.3</v>
      </c>
      <c r="AG105" s="107">
        <v>227.3</v>
      </c>
      <c r="AH105" s="108">
        <v>353.5</v>
      </c>
      <c r="AI105" s="108">
        <v>195.9</v>
      </c>
      <c r="AJ105" s="108">
        <v>381.7</v>
      </c>
      <c r="AK105" s="108">
        <v>371.2</v>
      </c>
      <c r="AL105" s="107">
        <f>MAX(0,(AL93+AL94+AL95+AL96+AL99+AL100+AL101)-(AL107+AL106+AL108+AL111+AL112+AL113+AL117+AL118+AL119+AL120+AL121+AL122))</f>
        <v>371.19999999999891</v>
      </c>
      <c r="AM105" s="108">
        <v>564.70000000000005</v>
      </c>
      <c r="AN105" s="108">
        <v>347</v>
      </c>
      <c r="AO105" s="108">
        <v>355.8</v>
      </c>
      <c r="AP105" s="108">
        <v>83.7</v>
      </c>
      <c r="AQ105" s="107">
        <f>AP105</f>
        <v>83.7</v>
      </c>
      <c r="AR105" s="108">
        <v>252.7</v>
      </c>
      <c r="AS105" s="108">
        <v>198</v>
      </c>
      <c r="AT105" s="135">
        <v>352.3</v>
      </c>
      <c r="AU105" s="135">
        <v>377.9</v>
      </c>
      <c r="AV105" s="107">
        <f>MAX(0,(AV93+AV94+AV95+AV96+AV99+AV100+AV101)-(AV107+AV106+AV108+AV111+AV112+AV113+AV117+AV118+AV119+AV120+AV121+AV122))</f>
        <v>377.90000000000055</v>
      </c>
      <c r="AW105" s="135">
        <v>97.9</v>
      </c>
      <c r="AX105" s="135">
        <v>15.2</v>
      </c>
      <c r="AY105" s="135">
        <v>16.600000000000001</v>
      </c>
      <c r="AZ105" s="135">
        <v>0</v>
      </c>
      <c r="BA105" s="107">
        <f>MAX(0,(BA93+BA94+BA95+BA96+BA99+BA100+BA101)-(BA107+BA106+BA108+BA111+BA112+BA113+BA117+BA118+BA119+BA120+BA121+BA122))</f>
        <v>0</v>
      </c>
      <c r="BB105" s="135">
        <v>221</v>
      </c>
      <c r="BC105" s="135">
        <v>272.10000000000002</v>
      </c>
      <c r="BD105" s="135">
        <v>170.5</v>
      </c>
      <c r="BE105" s="108">
        <v>57.2</v>
      </c>
      <c r="BF105" s="107">
        <f>MAX(0,(BF93+BF94+BF95+BF96+BF99+BF100+BF101)-(BF107+BF106+BF108+BF111+BF112+BF113+BF117+BF118+BF119+BF120+BF121+BF122))</f>
        <v>57.199999999998909</v>
      </c>
      <c r="BG105" s="108">
        <v>235.2</v>
      </c>
      <c r="BH105" s="108">
        <v>253</v>
      </c>
      <c r="BI105" s="108">
        <v>100.3</v>
      </c>
      <c r="BJ105" s="108">
        <v>52.4</v>
      </c>
      <c r="BK105" s="107">
        <f>MAX(0,(BK93+BK94+BK95+BK96+BK99+BK100+BK101)-(BK107+BK106+BK108+BK111+BK112+BK113+BK117+BK118+BK119+BK120+BK121+BK122))</f>
        <v>52.400000000001455</v>
      </c>
      <c r="BL105" s="108">
        <v>100.9</v>
      </c>
      <c r="BM105" s="108">
        <v>29.3</v>
      </c>
      <c r="BN105" s="555">
        <v>31.1</v>
      </c>
      <c r="BO105" s="562">
        <v>408.3</v>
      </c>
      <c r="BP105" s="107">
        <f t="shared" ref="BP105:BU105" si="130">MAX(0,(BP93+BP94+BP95+BP96+BP99+BP100+BP101)-(BP107+BP106+BP108+BP111+BP112+BP113+BP117+BP118+BP119+BP120+BP121+BP122+BP123))</f>
        <v>408.29999999999927</v>
      </c>
      <c r="BQ105" s="562">
        <v>29.8</v>
      </c>
      <c r="BR105" s="562">
        <v>114.3</v>
      </c>
      <c r="BS105" s="562">
        <v>353.4</v>
      </c>
      <c r="BT105" s="562">
        <v>606.5</v>
      </c>
      <c r="BU105" s="107">
        <f t="shared" si="130"/>
        <v>606.5</v>
      </c>
      <c r="BV105" s="562">
        <v>988.1</v>
      </c>
      <c r="BW105" s="562">
        <v>814</v>
      </c>
      <c r="BX105" s="562">
        <v>1212.8</v>
      </c>
      <c r="BY105" s="562">
        <v>746.8</v>
      </c>
      <c r="BZ105" s="107">
        <f t="shared" ref="BZ105:CY105" si="131">MAX(0,(BZ93+BZ94+BZ95+BZ96+BZ99+BZ100+BZ101)-(BZ107+BZ106+BZ108+BZ111+BZ112+BZ113+BZ117+BZ118+BZ119+BZ120+BZ121+BZ122+BZ123))</f>
        <v>746.80000000000291</v>
      </c>
      <c r="CA105" s="108">
        <f t="shared" ca="1" si="131"/>
        <v>856.62905587242494</v>
      </c>
      <c r="CB105" s="108">
        <f t="shared" ca="1" si="131"/>
        <v>858.35944117711188</v>
      </c>
      <c r="CC105" s="108">
        <f t="shared" ca="1" si="131"/>
        <v>1018.7877169355343</v>
      </c>
      <c r="CD105" s="108">
        <f t="shared" ca="1" si="131"/>
        <v>1228.2653932735338</v>
      </c>
      <c r="CE105" s="107">
        <f t="shared" ca="1" si="131"/>
        <v>1228.2653932735338</v>
      </c>
      <c r="CF105" s="108">
        <f t="shared" ca="1" si="131"/>
        <v>1365.7091732563786</v>
      </c>
      <c r="CG105" s="108">
        <f t="shared" ca="1" si="131"/>
        <v>1420.5447141228942</v>
      </c>
      <c r="CH105" s="108">
        <f t="shared" ca="1" si="131"/>
        <v>1660.074536933018</v>
      </c>
      <c r="CI105" s="108">
        <f t="shared" ca="1" si="131"/>
        <v>1960.7559489448977</v>
      </c>
      <c r="CJ105" s="107">
        <f t="shared" ca="1" si="131"/>
        <v>1960.7559489448977</v>
      </c>
      <c r="CK105" s="108">
        <f t="shared" ca="1" si="131"/>
        <v>1981.9267419357566</v>
      </c>
      <c r="CL105" s="108">
        <f t="shared" ca="1" si="131"/>
        <v>1888.5411334513883</v>
      </c>
      <c r="CM105" s="108">
        <f t="shared" ca="1" si="131"/>
        <v>2006.4409795918255</v>
      </c>
      <c r="CN105" s="108">
        <f t="shared" ca="1" si="131"/>
        <v>2195.1082157586097</v>
      </c>
      <c r="CO105" s="107">
        <f t="shared" ca="1" si="131"/>
        <v>2195.1082157586097</v>
      </c>
      <c r="CP105" s="108">
        <f t="shared" ca="1" si="131"/>
        <v>2153.6320058997189</v>
      </c>
      <c r="CQ105" s="108">
        <f t="shared" ca="1" si="131"/>
        <v>1954.3847263327225</v>
      </c>
      <c r="CR105" s="108">
        <f t="shared" ca="1" si="131"/>
        <v>1984.3712527740026</v>
      </c>
      <c r="CS105" s="108">
        <f t="shared" ca="1" si="131"/>
        <v>2097.338879762101</v>
      </c>
      <c r="CT105" s="107">
        <f t="shared" ca="1" si="131"/>
        <v>2097.338879762101</v>
      </c>
      <c r="CU105" s="108">
        <f t="shared" ca="1" si="131"/>
        <v>2034.5342791719631</v>
      </c>
      <c r="CV105" s="108">
        <f t="shared" ca="1" si="131"/>
        <v>1810.1611094966793</v>
      </c>
      <c r="CW105" s="108">
        <f t="shared" ca="1" si="131"/>
        <v>1821.9741446361913</v>
      </c>
      <c r="CX105" s="108">
        <f t="shared" ca="1" si="131"/>
        <v>1925.7147268942026</v>
      </c>
      <c r="CY105" s="107">
        <f t="shared" ca="1" si="131"/>
        <v>1925.7147268942026</v>
      </c>
      <c r="CZ105" s="135"/>
      <c r="DB105" s="308"/>
      <c r="DC105" s="308"/>
      <c r="DD105" s="748"/>
      <c r="DG105" s="308"/>
      <c r="DH105" s="308"/>
      <c r="DI105" s="773"/>
      <c r="DJ105" s="730"/>
      <c r="DK105" s="730"/>
      <c r="DL105" s="730"/>
      <c r="DM105" s="730"/>
      <c r="DN105" s="730"/>
      <c r="DU105" s="48"/>
      <c r="DV105" s="48"/>
      <c r="DW105" s="730"/>
      <c r="DX105" s="730"/>
      <c r="DY105" s="730"/>
      <c r="DZ105" s="730"/>
      <c r="EA105" s="730"/>
    </row>
    <row r="106" spans="1:131" x14ac:dyDescent="0.2">
      <c r="A106" s="418" t="s">
        <v>120</v>
      </c>
      <c r="B106" s="418"/>
      <c r="C106" s="48"/>
      <c r="D106" s="108">
        <v>468.57499999999999</v>
      </c>
      <c r="E106" s="108">
        <v>81.997</v>
      </c>
      <c r="F106" s="108">
        <v>65.832999999999998</v>
      </c>
      <c r="G106" s="108">
        <v>267.245</v>
      </c>
      <c r="H106" s="105">
        <f>+G106</f>
        <v>267.245</v>
      </c>
      <c r="I106" s="108">
        <v>108.92700000000001</v>
      </c>
      <c r="J106" s="108">
        <v>79.343000000000004</v>
      </c>
      <c r="K106" s="108">
        <v>85.837999999999994</v>
      </c>
      <c r="L106" s="108">
        <v>68.093999999999994</v>
      </c>
      <c r="M106" s="105">
        <f>+L106</f>
        <v>68.093999999999994</v>
      </c>
      <c r="N106" s="108">
        <v>67.888000000000005</v>
      </c>
      <c r="O106" s="108">
        <v>213.358</v>
      </c>
      <c r="P106" s="108">
        <v>225.721</v>
      </c>
      <c r="Q106" s="108">
        <v>214.066</v>
      </c>
      <c r="R106" s="105">
        <f>+Q106</f>
        <v>214.066</v>
      </c>
      <c r="S106" s="108">
        <v>214.3</v>
      </c>
      <c r="T106" s="108">
        <v>15.4</v>
      </c>
      <c r="U106" s="108">
        <v>59.7</v>
      </c>
      <c r="V106" s="108">
        <v>317.3</v>
      </c>
      <c r="W106" s="105">
        <f>+V106</f>
        <v>317.3</v>
      </c>
      <c r="X106" s="108">
        <v>362.8</v>
      </c>
      <c r="Y106" s="108">
        <v>307.39999999999998</v>
      </c>
      <c r="Z106" s="108">
        <v>366.9</v>
      </c>
      <c r="AA106" s="108">
        <f>+AB106</f>
        <v>229.3</v>
      </c>
      <c r="AB106" s="107">
        <v>229.3</v>
      </c>
      <c r="AC106" s="108">
        <v>252.9</v>
      </c>
      <c r="AD106" s="108">
        <v>264.3</v>
      </c>
      <c r="AE106" s="108">
        <v>451.6</v>
      </c>
      <c r="AF106" s="108">
        <f>+AG106</f>
        <v>235.2</v>
      </c>
      <c r="AG106" s="107">
        <v>235.2</v>
      </c>
      <c r="AH106" s="108">
        <v>256.2</v>
      </c>
      <c r="AI106" s="108">
        <v>277.39999999999998</v>
      </c>
      <c r="AJ106" s="108">
        <v>99.5</v>
      </c>
      <c r="AK106" s="108">
        <v>187.2</v>
      </c>
      <c r="AL106" s="107">
        <f>+AK106</f>
        <v>187.2</v>
      </c>
      <c r="AM106" s="108">
        <v>252.1</v>
      </c>
      <c r="AN106" s="108">
        <v>308.7</v>
      </c>
      <c r="AO106" s="104">
        <v>237.8</v>
      </c>
      <c r="AP106" s="104">
        <v>15.9</v>
      </c>
      <c r="AQ106" s="107">
        <f>+AP106</f>
        <v>15.9</v>
      </c>
      <c r="AR106" s="108">
        <v>10.8</v>
      </c>
      <c r="AS106" s="108">
        <v>13.7</v>
      </c>
      <c r="AT106" s="135">
        <v>174.4</v>
      </c>
      <c r="AU106" s="135">
        <v>330.2</v>
      </c>
      <c r="AV106" s="107">
        <f>+AU106</f>
        <v>330.2</v>
      </c>
      <c r="AW106" s="135">
        <v>37.700000000000003</v>
      </c>
      <c r="AX106" s="135">
        <v>43.8</v>
      </c>
      <c r="AY106" s="135">
        <v>49.9</v>
      </c>
      <c r="AZ106" s="135">
        <v>27.6</v>
      </c>
      <c r="BA106" s="107">
        <f>+AZ106</f>
        <v>27.6</v>
      </c>
      <c r="BB106" s="135">
        <v>33.299999999999997</v>
      </c>
      <c r="BC106" s="135">
        <v>115.7</v>
      </c>
      <c r="BD106" s="135">
        <v>67.099999999999994</v>
      </c>
      <c r="BE106" s="108">
        <v>590</v>
      </c>
      <c r="BF106" s="107">
        <f>+BE106</f>
        <v>590</v>
      </c>
      <c r="BG106" s="108">
        <v>614.4</v>
      </c>
      <c r="BH106" s="108">
        <v>615.70000000000005</v>
      </c>
      <c r="BI106" s="108">
        <v>137</v>
      </c>
      <c r="BJ106" s="108">
        <v>158.1</v>
      </c>
      <c r="BK106" s="107">
        <f t="shared" ref="BK106:CY106" si="132">+BJ106</f>
        <v>158.1</v>
      </c>
      <c r="BL106" s="108">
        <v>178.5</v>
      </c>
      <c r="BM106" s="108">
        <v>156.1</v>
      </c>
      <c r="BN106" s="555">
        <v>856.9</v>
      </c>
      <c r="BO106" s="562">
        <v>856.7</v>
      </c>
      <c r="BP106" s="107">
        <f t="shared" si="132"/>
        <v>856.7</v>
      </c>
      <c r="BQ106" s="562">
        <v>1587.8</v>
      </c>
      <c r="BR106" s="562">
        <v>893.1</v>
      </c>
      <c r="BS106" s="562">
        <v>915.7</v>
      </c>
      <c r="BT106" s="562">
        <v>910.9</v>
      </c>
      <c r="BU106" s="107">
        <f t="shared" si="132"/>
        <v>910.9</v>
      </c>
      <c r="BV106" s="562">
        <v>146.19999999999999</v>
      </c>
      <c r="BW106" s="562">
        <v>96.5</v>
      </c>
      <c r="BX106" s="562">
        <v>23.2</v>
      </c>
      <c r="BY106" s="562">
        <v>22.3</v>
      </c>
      <c r="BZ106" s="107">
        <f>+BY106</f>
        <v>22.3</v>
      </c>
      <c r="CA106" s="136">
        <f t="shared" si="132"/>
        <v>22.3</v>
      </c>
      <c r="CB106" s="136">
        <f t="shared" si="132"/>
        <v>22.3</v>
      </c>
      <c r="CC106" s="136">
        <f t="shared" si="132"/>
        <v>22.3</v>
      </c>
      <c r="CD106" s="136">
        <f t="shared" si="132"/>
        <v>22.3</v>
      </c>
      <c r="CE106" s="107">
        <f t="shared" si="132"/>
        <v>22.3</v>
      </c>
      <c r="CF106" s="136">
        <f t="shared" si="132"/>
        <v>22.3</v>
      </c>
      <c r="CG106" s="136">
        <f t="shared" si="132"/>
        <v>22.3</v>
      </c>
      <c r="CH106" s="136">
        <f t="shared" si="132"/>
        <v>22.3</v>
      </c>
      <c r="CI106" s="136">
        <f t="shared" si="132"/>
        <v>22.3</v>
      </c>
      <c r="CJ106" s="107">
        <f t="shared" si="132"/>
        <v>22.3</v>
      </c>
      <c r="CK106" s="136">
        <f t="shared" si="132"/>
        <v>22.3</v>
      </c>
      <c r="CL106" s="136">
        <f t="shared" si="132"/>
        <v>22.3</v>
      </c>
      <c r="CM106" s="136">
        <f t="shared" si="132"/>
        <v>22.3</v>
      </c>
      <c r="CN106" s="136">
        <f t="shared" si="132"/>
        <v>22.3</v>
      </c>
      <c r="CO106" s="107">
        <f t="shared" si="132"/>
        <v>22.3</v>
      </c>
      <c r="CP106" s="136">
        <f t="shared" si="132"/>
        <v>22.3</v>
      </c>
      <c r="CQ106" s="136">
        <f t="shared" si="132"/>
        <v>22.3</v>
      </c>
      <c r="CR106" s="136">
        <f t="shared" si="132"/>
        <v>22.3</v>
      </c>
      <c r="CS106" s="136">
        <f t="shared" si="132"/>
        <v>22.3</v>
      </c>
      <c r="CT106" s="107">
        <f t="shared" si="132"/>
        <v>22.3</v>
      </c>
      <c r="CU106" s="136">
        <f t="shared" si="132"/>
        <v>22.3</v>
      </c>
      <c r="CV106" s="136">
        <f t="shared" si="132"/>
        <v>22.3</v>
      </c>
      <c r="CW106" s="136">
        <f t="shared" si="132"/>
        <v>22.3</v>
      </c>
      <c r="CX106" s="136">
        <f t="shared" si="132"/>
        <v>22.3</v>
      </c>
      <c r="CY106" s="107">
        <f t="shared" si="132"/>
        <v>22.3</v>
      </c>
      <c r="CZ106" s="135"/>
      <c r="DB106" s="308"/>
      <c r="DC106" s="825"/>
      <c r="DD106" s="748"/>
      <c r="DG106" s="308"/>
      <c r="DH106" s="308"/>
      <c r="DI106" s="773"/>
      <c r="DJ106" s="730"/>
      <c r="DK106" s="730"/>
      <c r="DL106" s="730"/>
      <c r="DM106" s="730"/>
      <c r="DN106" s="730"/>
      <c r="DU106" s="48"/>
      <c r="DV106" s="48"/>
      <c r="DW106" s="730"/>
      <c r="DX106" s="730"/>
      <c r="DY106" s="730"/>
      <c r="DZ106" s="730"/>
      <c r="EA106" s="730"/>
    </row>
    <row r="107" spans="1:131" x14ac:dyDescent="0.2">
      <c r="A107" s="418" t="s">
        <v>121</v>
      </c>
      <c r="B107" s="418"/>
      <c r="C107" s="48"/>
      <c r="D107" s="108">
        <v>279.87700000000001</v>
      </c>
      <c r="E107" s="108">
        <v>255.84</v>
      </c>
      <c r="F107" s="108">
        <v>340.07</v>
      </c>
      <c r="G107" s="108">
        <v>270.291</v>
      </c>
      <c r="H107" s="105">
        <f>+G107</f>
        <v>270.291</v>
      </c>
      <c r="I107" s="108">
        <v>361.50599999999997</v>
      </c>
      <c r="J107" s="108">
        <v>403.07299999999998</v>
      </c>
      <c r="K107" s="108">
        <v>383.416</v>
      </c>
      <c r="L107" s="108">
        <v>345.25400000000002</v>
      </c>
      <c r="M107" s="105">
        <f>+L107</f>
        <v>345.25400000000002</v>
      </c>
      <c r="N107" s="108">
        <v>387.17700000000002</v>
      </c>
      <c r="O107" s="108">
        <v>362.084</v>
      </c>
      <c r="P107" s="104">
        <v>485.72199999999998</v>
      </c>
      <c r="Q107" s="108">
        <v>312.839</v>
      </c>
      <c r="R107" s="105">
        <f>+Q107</f>
        <v>312.839</v>
      </c>
      <c r="S107" s="108">
        <v>365</v>
      </c>
      <c r="T107" s="108">
        <v>420.3</v>
      </c>
      <c r="U107" s="108">
        <v>543.4</v>
      </c>
      <c r="V107" s="108">
        <v>376.1</v>
      </c>
      <c r="W107" s="105">
        <f>+V107</f>
        <v>376.1</v>
      </c>
      <c r="X107" s="108">
        <v>270.60000000000002</v>
      </c>
      <c r="Y107" s="108">
        <v>281.3</v>
      </c>
      <c r="Z107" s="108">
        <v>350.8</v>
      </c>
      <c r="AA107" s="108">
        <f>+AB107</f>
        <v>349.4</v>
      </c>
      <c r="AB107" s="105">
        <v>349.4</v>
      </c>
      <c r="AC107" s="108">
        <v>370</v>
      </c>
      <c r="AD107" s="108">
        <v>347.7</v>
      </c>
      <c r="AE107" s="108">
        <v>344.6</v>
      </c>
      <c r="AF107" s="108">
        <f>+AG107</f>
        <v>288.7</v>
      </c>
      <c r="AG107" s="105">
        <v>288.7</v>
      </c>
      <c r="AH107" s="108">
        <v>276.2</v>
      </c>
      <c r="AI107" s="108">
        <v>298.5</v>
      </c>
      <c r="AJ107" s="104">
        <v>376.7</v>
      </c>
      <c r="AK107" s="108">
        <v>268.8</v>
      </c>
      <c r="AL107" s="105">
        <f>AK107</f>
        <v>268.8</v>
      </c>
      <c r="AM107" s="104">
        <v>224.8</v>
      </c>
      <c r="AN107" s="104">
        <v>253.5</v>
      </c>
      <c r="AO107" s="104">
        <v>334.8</v>
      </c>
      <c r="AP107" s="104">
        <v>129.19999999999999</v>
      </c>
      <c r="AQ107" s="105">
        <f>AP107</f>
        <v>129.19999999999999</v>
      </c>
      <c r="AR107" s="108">
        <v>104.8</v>
      </c>
      <c r="AS107" s="104">
        <v>138.69999999999999</v>
      </c>
      <c r="AT107" s="106">
        <v>270.60000000000002</v>
      </c>
      <c r="AU107" s="106">
        <v>130.5</v>
      </c>
      <c r="AV107" s="105">
        <f>AU107</f>
        <v>130.5</v>
      </c>
      <c r="AW107" s="106">
        <v>117.2</v>
      </c>
      <c r="AX107" s="106">
        <v>185.6</v>
      </c>
      <c r="AY107" s="106">
        <v>300.39999999999998</v>
      </c>
      <c r="AZ107" s="106">
        <v>209</v>
      </c>
      <c r="BA107" s="105">
        <f>AZ107</f>
        <v>209</v>
      </c>
      <c r="BB107" s="106">
        <v>150</v>
      </c>
      <c r="BC107" s="106">
        <v>341.2</v>
      </c>
      <c r="BD107" s="106">
        <v>462.4</v>
      </c>
      <c r="BE107" s="108">
        <v>295.2</v>
      </c>
      <c r="BF107" s="105">
        <f>BE107</f>
        <v>295.2</v>
      </c>
      <c r="BG107" s="108">
        <v>345.7</v>
      </c>
      <c r="BH107" s="108">
        <v>441.9</v>
      </c>
      <c r="BI107" s="108">
        <v>445.9</v>
      </c>
      <c r="BJ107" s="108">
        <v>285.8</v>
      </c>
      <c r="BK107" s="105">
        <f>BJ107</f>
        <v>285.8</v>
      </c>
      <c r="BL107" s="108">
        <v>289.10000000000002</v>
      </c>
      <c r="BM107" s="108">
        <v>373.3</v>
      </c>
      <c r="BN107" s="555">
        <v>420.9</v>
      </c>
      <c r="BO107" s="562">
        <v>429.3</v>
      </c>
      <c r="BP107" s="105">
        <f>BO107</f>
        <v>429.3</v>
      </c>
      <c r="BQ107" s="562">
        <v>558.5</v>
      </c>
      <c r="BR107" s="562">
        <v>624.5</v>
      </c>
      <c r="BS107" s="562">
        <v>772.3</v>
      </c>
      <c r="BT107" s="562">
        <v>559.79999999999995</v>
      </c>
      <c r="BU107" s="105">
        <f>BT107</f>
        <v>559.79999999999995</v>
      </c>
      <c r="BV107" s="562">
        <v>558.79999999999995</v>
      </c>
      <c r="BW107" s="562">
        <v>601.70000000000005</v>
      </c>
      <c r="BX107" s="562">
        <v>742.2</v>
      </c>
      <c r="BY107" s="562">
        <v>592.20000000000005</v>
      </c>
      <c r="BZ107" s="105">
        <f>BY107</f>
        <v>592.20000000000005</v>
      </c>
      <c r="CA107" s="104">
        <f>-CA192*4*CA11</f>
        <v>594.08515792241701</v>
      </c>
      <c r="CB107" s="104">
        <f>-CB192*4*CB11</f>
        <v>637.61991477345282</v>
      </c>
      <c r="CC107" s="104">
        <f>-CC192*4*CC11</f>
        <v>793.1555917614113</v>
      </c>
      <c r="CD107" s="104">
        <f>-CD192*4*CD11</f>
        <v>620.61605757738926</v>
      </c>
      <c r="CE107" s="105">
        <f>CD107</f>
        <v>620.61605757738926</v>
      </c>
      <c r="CF107" s="104">
        <f>-CF192*4*CF11</f>
        <v>642.48022348484972</v>
      </c>
      <c r="CG107" s="104">
        <f>-CG192*4*CG11</f>
        <v>689.89242140036572</v>
      </c>
      <c r="CH107" s="104">
        <f>-CH192*4*CH11</f>
        <v>846.535827395708</v>
      </c>
      <c r="CI107" s="104">
        <f>-CI192*4*CI11</f>
        <v>666.67062940477103</v>
      </c>
      <c r="CJ107" s="105">
        <f>CI107</f>
        <v>666.67062940477103</v>
      </c>
      <c r="CK107" s="104">
        <f>-CK192*4*CK11</f>
        <v>671.86619860789983</v>
      </c>
      <c r="CL107" s="104">
        <f>-CL192*4*CL11</f>
        <v>721.38455253306734</v>
      </c>
      <c r="CM107" s="104">
        <f>-CM192*4*CM11</f>
        <v>882.90622332842315</v>
      </c>
      <c r="CN107" s="104">
        <f>-CN192*4*CN11</f>
        <v>695.34514336701682</v>
      </c>
      <c r="CO107" s="105">
        <f>CN107</f>
        <v>695.34514336701682</v>
      </c>
      <c r="CP107" s="104">
        <f>-CP192*4*CP11</f>
        <v>701.4997875808142</v>
      </c>
      <c r="CQ107" s="104">
        <f>-CQ192*4*CQ11</f>
        <v>753.14851800185681</v>
      </c>
      <c r="CR107" s="104">
        <f>-CR192*4*CR11</f>
        <v>919.92206738574794</v>
      </c>
      <c r="CS107" s="104">
        <f>-CS192*4*CS11</f>
        <v>724.49336401590062</v>
      </c>
      <c r="CT107" s="105">
        <f>CS107</f>
        <v>724.49336401590062</v>
      </c>
      <c r="CU107" s="104">
        <f>-CU192*4*CU11</f>
        <v>729.54451317889379</v>
      </c>
      <c r="CV107" s="104">
        <f>-CV192*4*CV11</f>
        <v>783.20881033754483</v>
      </c>
      <c r="CW107" s="104">
        <f>-CW192*4*CW11</f>
        <v>954.88972094275266</v>
      </c>
      <c r="CX107" s="104">
        <f>-CX192*4*CX11</f>
        <v>752.042381656163</v>
      </c>
      <c r="CY107" s="105">
        <f>CX107</f>
        <v>752.042381656163</v>
      </c>
      <c r="CZ107" s="106"/>
      <c r="DB107" s="308"/>
      <c r="DC107" s="729"/>
      <c r="DD107" s="748"/>
      <c r="DG107" s="308"/>
      <c r="DH107" s="308"/>
      <c r="DI107" s="773"/>
      <c r="DJ107" s="730"/>
      <c r="DK107" s="730"/>
      <c r="DL107" s="730"/>
      <c r="DM107" s="730"/>
      <c r="DN107" s="730"/>
      <c r="DU107" s="48"/>
      <c r="DV107" s="48"/>
      <c r="DW107" s="730"/>
      <c r="DX107" s="730"/>
      <c r="DY107" s="730"/>
      <c r="DZ107" s="730"/>
      <c r="EA107" s="730"/>
    </row>
    <row r="108" spans="1:131" x14ac:dyDescent="0.2">
      <c r="A108" s="418" t="s">
        <v>124</v>
      </c>
      <c r="B108" s="418"/>
      <c r="C108" s="48"/>
      <c r="D108" s="205">
        <v>455.47700000000003</v>
      </c>
      <c r="E108" s="205">
        <f>51.577+429.576</f>
        <v>481.15300000000002</v>
      </c>
      <c r="F108" s="205">
        <v>539.38</v>
      </c>
      <c r="G108" s="205">
        <v>490.47400000000005</v>
      </c>
      <c r="H108" s="204">
        <f>+G108</f>
        <v>490.47400000000005</v>
      </c>
      <c r="I108" s="205">
        <v>453.35599999999999</v>
      </c>
      <c r="J108" s="205">
        <v>527.25599999999997</v>
      </c>
      <c r="K108" s="205">
        <v>632.26099999999997</v>
      </c>
      <c r="L108" s="205">
        <v>708.26400000000001</v>
      </c>
      <c r="M108" s="204">
        <f>+L108</f>
        <v>708.26400000000001</v>
      </c>
      <c r="N108" s="205">
        <v>616.1579999999999</v>
      </c>
      <c r="O108" s="205">
        <v>659.98699999999997</v>
      </c>
      <c r="P108" s="205">
        <v>761.649</v>
      </c>
      <c r="Q108" s="205">
        <v>691.274</v>
      </c>
      <c r="R108" s="204">
        <f>+Q108</f>
        <v>691.274</v>
      </c>
      <c r="S108" s="205">
        <v>693.5</v>
      </c>
      <c r="T108" s="205">
        <v>818.8</v>
      </c>
      <c r="U108" s="205">
        <v>923.3</v>
      </c>
      <c r="V108" s="205">
        <v>744.4</v>
      </c>
      <c r="W108" s="204">
        <f>+V108</f>
        <v>744.4</v>
      </c>
      <c r="X108" s="205">
        <v>631.79999999999995</v>
      </c>
      <c r="Y108" s="205">
        <v>713.5</v>
      </c>
      <c r="Z108" s="205">
        <v>775.2</v>
      </c>
      <c r="AA108" s="205">
        <f>+AB108</f>
        <v>760.1</v>
      </c>
      <c r="AB108" s="204">
        <f>697.7+62.4</f>
        <v>760.1</v>
      </c>
      <c r="AC108" s="205">
        <v>698.5</v>
      </c>
      <c r="AD108" s="205">
        <v>642.1</v>
      </c>
      <c r="AE108" s="205">
        <f>117.7+608.5</f>
        <v>726.2</v>
      </c>
      <c r="AF108" s="205">
        <f>+AG108</f>
        <v>575.20000000000005</v>
      </c>
      <c r="AG108" s="204">
        <f>517.6+57.6</f>
        <v>575.20000000000005</v>
      </c>
      <c r="AH108" s="205">
        <f>600+69.8</f>
        <v>669.8</v>
      </c>
      <c r="AI108" s="205">
        <f>81.6+575.4</f>
        <v>657</v>
      </c>
      <c r="AJ108" s="205">
        <f>642.3+76.2</f>
        <v>718.5</v>
      </c>
      <c r="AK108" s="205">
        <f>501.6+43.8</f>
        <v>545.4</v>
      </c>
      <c r="AL108" s="204">
        <f>AK108</f>
        <v>545.4</v>
      </c>
      <c r="AM108" s="205">
        <f>50.8+441.8</f>
        <v>492.6</v>
      </c>
      <c r="AN108" s="205">
        <f>57.7+482.8</f>
        <v>540.5</v>
      </c>
      <c r="AO108" s="205">
        <f>65.4+521.5</f>
        <v>586.9</v>
      </c>
      <c r="AP108" s="205">
        <f>14.2+419.9</f>
        <v>434.09999999999997</v>
      </c>
      <c r="AQ108" s="204">
        <f>AP108</f>
        <v>434.09999999999997</v>
      </c>
      <c r="AR108" s="205">
        <f>23.3+391.8</f>
        <v>415.1</v>
      </c>
      <c r="AS108" s="205">
        <f>26.4+410</f>
        <v>436.4</v>
      </c>
      <c r="AT108" s="209">
        <f>23.5+357.4</f>
        <v>380.9</v>
      </c>
      <c r="AU108" s="209">
        <f>24.8+336.2</f>
        <v>361</v>
      </c>
      <c r="AV108" s="204">
        <f>AU108</f>
        <v>361</v>
      </c>
      <c r="AW108" s="209">
        <f>23.4+311.7</f>
        <v>335.09999999999997</v>
      </c>
      <c r="AX108" s="209">
        <f>27.7+383.7</f>
        <v>411.4</v>
      </c>
      <c r="AY108" s="209">
        <f>18.1+402.8</f>
        <v>420.90000000000003</v>
      </c>
      <c r="AZ108" s="209">
        <f>18.9+422.4</f>
        <v>441.29999999999995</v>
      </c>
      <c r="BA108" s="204">
        <f>AZ108</f>
        <v>441.29999999999995</v>
      </c>
      <c r="BB108" s="209">
        <f>17.5+375.4</f>
        <v>392.9</v>
      </c>
      <c r="BC108" s="209">
        <f>27.6+1054</f>
        <v>1081.5999999999999</v>
      </c>
      <c r="BD108" s="209">
        <f>26.4+1028.6</f>
        <v>1055</v>
      </c>
      <c r="BE108" s="205">
        <f>27.7+1055.6</f>
        <v>1083.3</v>
      </c>
      <c r="BF108" s="204">
        <f>BE108</f>
        <v>1083.3</v>
      </c>
      <c r="BG108" s="205">
        <f>1031.9+27.5</f>
        <v>1059.4000000000001</v>
      </c>
      <c r="BH108" s="205">
        <f>29.5+536.2</f>
        <v>565.70000000000005</v>
      </c>
      <c r="BI108" s="205">
        <f>24.9+540.4</f>
        <v>565.29999999999995</v>
      </c>
      <c r="BJ108" s="205">
        <f>28.7+605.7</f>
        <v>634.40000000000009</v>
      </c>
      <c r="BK108" s="204">
        <f>BJ108</f>
        <v>634.40000000000009</v>
      </c>
      <c r="BL108" s="205">
        <f>521+30.8</f>
        <v>551.79999999999995</v>
      </c>
      <c r="BM108" s="205">
        <f>626.6+26.9</f>
        <v>653.5</v>
      </c>
      <c r="BN108" s="556">
        <f>579.4+32.5</f>
        <v>611.9</v>
      </c>
      <c r="BO108" s="563">
        <f>33.6+544.4</f>
        <v>578</v>
      </c>
      <c r="BP108" s="204">
        <f>BO108</f>
        <v>578</v>
      </c>
      <c r="BQ108" s="563">
        <f>39.7+482.9</f>
        <v>522.6</v>
      </c>
      <c r="BR108" s="563">
        <f>35.9+531.8</f>
        <v>567.69999999999993</v>
      </c>
      <c r="BS108" s="563">
        <f>562.2+33</f>
        <v>595.20000000000005</v>
      </c>
      <c r="BT108" s="563">
        <f>44.6+575.8</f>
        <v>620.4</v>
      </c>
      <c r="BU108" s="204">
        <f>BT108</f>
        <v>620.4</v>
      </c>
      <c r="BV108" s="563">
        <v>489.3</v>
      </c>
      <c r="BW108" s="563">
        <v>577.79999999999995</v>
      </c>
      <c r="BX108" s="563">
        <v>557.70000000000005</v>
      </c>
      <c r="BY108" s="563">
        <v>583.4</v>
      </c>
      <c r="BZ108" s="204">
        <f>BY108</f>
        <v>583.4</v>
      </c>
      <c r="CA108" s="205">
        <f>CA194*CA$5*4</f>
        <v>523.45607510479215</v>
      </c>
      <c r="CB108" s="205">
        <f>CB194*CB$5*4</f>
        <v>625.68501547786036</v>
      </c>
      <c r="CC108" s="205">
        <f>CC194*CC$5*4</f>
        <v>612.1143895800401</v>
      </c>
      <c r="CD108" s="205">
        <f>CD194*CD$5*4</f>
        <v>625.91614932363109</v>
      </c>
      <c r="CE108" s="204">
        <f>CD108</f>
        <v>625.91614932363109</v>
      </c>
      <c r="CF108" s="205">
        <f>CF194*CF$5*4</f>
        <v>558.30904216792783</v>
      </c>
      <c r="CG108" s="205">
        <f>CG194*CG$5*4</f>
        <v>667.23347844224338</v>
      </c>
      <c r="CH108" s="205">
        <f>CH194*CH$5*4</f>
        <v>650.22591460787658</v>
      </c>
      <c r="CI108" s="205">
        <f>CI194*CI$5*4</f>
        <v>664.59938000016052</v>
      </c>
      <c r="CJ108" s="204">
        <f>CI108</f>
        <v>664.59938000016052</v>
      </c>
      <c r="CK108" s="205">
        <f>CK194*CK$5*4</f>
        <v>588.85899889798588</v>
      </c>
      <c r="CL108" s="205">
        <f>CL194*CL$5*4</f>
        <v>703.66628156199408</v>
      </c>
      <c r="CM108" s="205">
        <f>CM194*CM$5*4</f>
        <v>683.96493243678276</v>
      </c>
      <c r="CN108" s="205">
        <f>CN194*CN$5*4</f>
        <v>698.88322052413105</v>
      </c>
      <c r="CO108" s="204">
        <f>CN108</f>
        <v>698.88322052413105</v>
      </c>
      <c r="CP108" s="205">
        <f>CP194*CP$5*4</f>
        <v>618.14920333244891</v>
      </c>
      <c r="CQ108" s="205">
        <f>CQ194*CQ$5*4</f>
        <v>738.60343659972455</v>
      </c>
      <c r="CR108" s="205">
        <f>CR194*CR$5*4</f>
        <v>716.47181725307564</v>
      </c>
      <c r="CS108" s="205">
        <f>CS194*CS$5*4</f>
        <v>731.93335600616717</v>
      </c>
      <c r="CT108" s="204">
        <f>CS108</f>
        <v>731.93335600616717</v>
      </c>
      <c r="CU108" s="205">
        <f>CU194*CU$5*4</f>
        <v>646.34956092890525</v>
      </c>
      <c r="CV108" s="205">
        <f>CV194*CV$5*4</f>
        <v>772.23882870665182</v>
      </c>
      <c r="CW108" s="205">
        <f>CW194*CW$5*4</f>
        <v>747.72631604087451</v>
      </c>
      <c r="CX108" s="205">
        <f>CX194*CX$5*4</f>
        <v>763.70526516300299</v>
      </c>
      <c r="CY108" s="204">
        <f>CX108</f>
        <v>763.70526516300299</v>
      </c>
      <c r="CZ108" s="207"/>
      <c r="DB108" s="308"/>
      <c r="DC108" s="308"/>
      <c r="DD108" s="748"/>
      <c r="DG108" s="308"/>
      <c r="DH108" s="308"/>
      <c r="DI108" s="773"/>
      <c r="DJ108" s="730"/>
      <c r="DK108" s="730"/>
      <c r="DL108" s="730"/>
      <c r="DM108" s="730"/>
      <c r="DN108" s="730"/>
      <c r="DU108" s="48"/>
      <c r="DV108" s="48"/>
      <c r="DW108" s="730"/>
      <c r="DX108" s="730"/>
      <c r="DY108" s="730"/>
      <c r="DZ108" s="730"/>
      <c r="EA108" s="730"/>
    </row>
    <row r="109" spans="1:131" x14ac:dyDescent="0.2">
      <c r="A109" s="416"/>
      <c r="B109" s="416" t="s">
        <v>125</v>
      </c>
      <c r="C109" s="78"/>
      <c r="D109" s="84">
        <f>SUM(D105:D108)</f>
        <v>1220.191</v>
      </c>
      <c r="E109" s="84">
        <f>SUM(E105:E108)</f>
        <v>854.08199999999999</v>
      </c>
      <c r="F109" s="84">
        <f>SUM(F105:F108)</f>
        <v>1113.3240000000001</v>
      </c>
      <c r="G109" s="84">
        <f>SUM(G105:G108)</f>
        <v>1029.8020000000001</v>
      </c>
      <c r="H109" s="85">
        <f>+G109</f>
        <v>1029.8020000000001</v>
      </c>
      <c r="I109" s="84">
        <f>SUM(I105:I108)</f>
        <v>1167.3409999999999</v>
      </c>
      <c r="J109" s="84">
        <f>SUM(J105:J108)</f>
        <v>1203.268</v>
      </c>
      <c r="K109" s="84">
        <f>SUM(K105:K108)</f>
        <v>1327.5729999999999</v>
      </c>
      <c r="L109" s="84">
        <f>SUM(L105:L108)</f>
        <v>1138.087</v>
      </c>
      <c r="M109" s="85">
        <f>+L109</f>
        <v>1138.087</v>
      </c>
      <c r="N109" s="84">
        <f>SUM(N105:N108)</f>
        <v>1133.83</v>
      </c>
      <c r="O109" s="84">
        <f>SUM(O105:O108)</f>
        <v>1306.9380000000001</v>
      </c>
      <c r="P109" s="84">
        <f>SUM(P105:P108)</f>
        <v>1600.837</v>
      </c>
      <c r="Q109" s="84">
        <f>SUM(Q105:Q108)</f>
        <v>1298.06</v>
      </c>
      <c r="R109" s="85">
        <f>+Q109</f>
        <v>1298.06</v>
      </c>
      <c r="S109" s="84">
        <f>SUM(S105:S108)</f>
        <v>1437.1</v>
      </c>
      <c r="T109" s="84">
        <f>SUM(T105:T108)</f>
        <v>1567.8</v>
      </c>
      <c r="U109" s="84">
        <f>SUM(U105:U108)</f>
        <v>1843.1999999999998</v>
      </c>
      <c r="V109" s="84">
        <f>SUM(V105:V108)</f>
        <v>1591.1</v>
      </c>
      <c r="W109" s="85">
        <f>+V109</f>
        <v>1591.1</v>
      </c>
      <c r="X109" s="84">
        <f t="shared" ref="X109:AK109" si="133">SUM(X105:X108)</f>
        <v>1507.5</v>
      </c>
      <c r="Y109" s="84">
        <f t="shared" si="133"/>
        <v>1452</v>
      </c>
      <c r="Z109" s="84">
        <f t="shared" si="133"/>
        <v>1594.6</v>
      </c>
      <c r="AA109" s="87">
        <f t="shared" si="133"/>
        <v>1718.3</v>
      </c>
      <c r="AB109" s="85">
        <f t="shared" si="133"/>
        <v>1718.3</v>
      </c>
      <c r="AC109" s="84">
        <f t="shared" si="133"/>
        <v>1786.3</v>
      </c>
      <c r="AD109" s="84">
        <f t="shared" si="133"/>
        <v>1341.1</v>
      </c>
      <c r="AE109" s="84">
        <f t="shared" si="133"/>
        <v>1728.4</v>
      </c>
      <c r="AF109" s="87">
        <f t="shared" si="133"/>
        <v>1326.4</v>
      </c>
      <c r="AG109" s="85">
        <f t="shared" si="133"/>
        <v>1326.4</v>
      </c>
      <c r="AH109" s="87">
        <f t="shared" si="133"/>
        <v>1555.7</v>
      </c>
      <c r="AI109" s="87">
        <f t="shared" si="133"/>
        <v>1428.8</v>
      </c>
      <c r="AJ109" s="84">
        <f t="shared" si="133"/>
        <v>1576.4</v>
      </c>
      <c r="AK109" s="84">
        <f t="shared" si="133"/>
        <v>1372.6</v>
      </c>
      <c r="AL109" s="85">
        <f>+AK109</f>
        <v>1372.6</v>
      </c>
      <c r="AM109" s="84">
        <f>SUM(AM105:AM108)</f>
        <v>1534.2000000000003</v>
      </c>
      <c r="AN109" s="84">
        <f>SUM(AN105:AN108)</f>
        <v>1449.7</v>
      </c>
      <c r="AO109" s="84">
        <f>SUM(AO105:AO108)</f>
        <v>1515.3000000000002</v>
      </c>
      <c r="AP109" s="84">
        <f>SUM(AP105:AP108)</f>
        <v>662.9</v>
      </c>
      <c r="AQ109" s="85">
        <f>+AP109</f>
        <v>662.9</v>
      </c>
      <c r="AR109" s="84">
        <f>SUM(AR105:AR108)</f>
        <v>783.40000000000009</v>
      </c>
      <c r="AS109" s="84">
        <f>SUM(AS105:AS108)</f>
        <v>786.8</v>
      </c>
      <c r="AT109" s="86">
        <f>SUM(AT105:AT108)</f>
        <v>1178.2</v>
      </c>
      <c r="AU109" s="86">
        <f>SUM(AU105:AU108)</f>
        <v>1199.5999999999999</v>
      </c>
      <c r="AV109" s="85">
        <f>+AU109</f>
        <v>1199.5999999999999</v>
      </c>
      <c r="AW109" s="86">
        <f>SUM(AW105:AW108)</f>
        <v>587.9</v>
      </c>
      <c r="AX109" s="86">
        <f>SUM(AX105:AX108)</f>
        <v>656</v>
      </c>
      <c r="AY109" s="86">
        <f>SUM(AY105:AY108)</f>
        <v>787.8</v>
      </c>
      <c r="AZ109" s="86">
        <f>SUM(AZ105:AZ108)</f>
        <v>677.9</v>
      </c>
      <c r="BA109" s="85">
        <f>+AZ109</f>
        <v>677.9</v>
      </c>
      <c r="BB109" s="86">
        <f>SUM(BB105:BB108)</f>
        <v>797.2</v>
      </c>
      <c r="BC109" s="86">
        <f>SUM(BC105:BC108)</f>
        <v>1810.6</v>
      </c>
      <c r="BD109" s="86">
        <f>SUM(BD105:BD108)</f>
        <v>1755</v>
      </c>
      <c r="BE109" s="87">
        <f>SUM(BE105:BE108)</f>
        <v>2025.7</v>
      </c>
      <c r="BF109" s="85">
        <f>+BE109</f>
        <v>2025.7</v>
      </c>
      <c r="BG109" s="87">
        <f>SUM(BG105:BG108)</f>
        <v>2254.6999999999998</v>
      </c>
      <c r="BH109" s="87">
        <f>SUM(BH105:BH108)</f>
        <v>1876.3</v>
      </c>
      <c r="BI109" s="87">
        <f>SUM(BI105:BI108)</f>
        <v>1248.5</v>
      </c>
      <c r="BJ109" s="87">
        <f>SUM(BJ105:BJ108)</f>
        <v>1130.7</v>
      </c>
      <c r="BK109" s="85">
        <f>+BJ109</f>
        <v>1130.7</v>
      </c>
      <c r="BL109" s="87">
        <f>SUM(BL105:BL108)</f>
        <v>1120.3</v>
      </c>
      <c r="BM109" s="87">
        <f>SUM(BM105:BM108)</f>
        <v>1212.2</v>
      </c>
      <c r="BN109" s="557">
        <f>SUM(BN105:BN108)</f>
        <v>1920.8000000000002</v>
      </c>
      <c r="BO109" s="87">
        <f>SUM(BO105:BO108)</f>
        <v>2272.3000000000002</v>
      </c>
      <c r="BP109" s="85">
        <f>+BO109</f>
        <v>2272.3000000000002</v>
      </c>
      <c r="BQ109" s="87">
        <f>SUM(BQ105:BQ108)</f>
        <v>2698.7</v>
      </c>
      <c r="BR109" s="87">
        <f>SUM(BR105:BR108)</f>
        <v>2199.6</v>
      </c>
      <c r="BS109" s="87">
        <f>SUM(BS105:BS108)</f>
        <v>2636.6</v>
      </c>
      <c r="BT109" s="87">
        <f>SUM(BT105:BT108)</f>
        <v>2697.6</v>
      </c>
      <c r="BU109" s="85">
        <f>+BT109</f>
        <v>2697.6</v>
      </c>
      <c r="BV109" s="87">
        <f>SUM(BV105:BV108)</f>
        <v>2182.4</v>
      </c>
      <c r="BW109" s="87">
        <f>SUM(BW105:BW108)</f>
        <v>2090</v>
      </c>
      <c r="BX109" s="87">
        <f>SUM(BX105:BX108)</f>
        <v>2535.9</v>
      </c>
      <c r="BY109" s="87">
        <f>SUM(BY105:BY108)</f>
        <v>1944.6999999999998</v>
      </c>
      <c r="BZ109" s="85">
        <f>+BY109</f>
        <v>1944.6999999999998</v>
      </c>
      <c r="CA109" s="84">
        <f ca="1">SUM(CA105:CA108)</f>
        <v>1996.4702888996339</v>
      </c>
      <c r="CB109" s="84">
        <f ca="1">SUM(CB105:CB108)</f>
        <v>2143.9643714284248</v>
      </c>
      <c r="CC109" s="84">
        <f ca="1">SUM(CC105:CC108)</f>
        <v>2446.3576982769855</v>
      </c>
      <c r="CD109" s="84">
        <f ca="1">SUM(CD105:CD108)</f>
        <v>2497.0976001745539</v>
      </c>
      <c r="CE109" s="85">
        <f ca="1">+CD109</f>
        <v>2497.0976001745539</v>
      </c>
      <c r="CF109" s="84">
        <f ca="1">SUM(CF105:CF108)</f>
        <v>2588.7984389091562</v>
      </c>
      <c r="CG109" s="84">
        <f ca="1">SUM(CG105:CG108)</f>
        <v>2799.9706139655032</v>
      </c>
      <c r="CH109" s="84">
        <f ca="1">SUM(CH105:CH108)</f>
        <v>3179.1362789366021</v>
      </c>
      <c r="CI109" s="84">
        <f ca="1">SUM(CI105:CI108)</f>
        <v>3314.3259583498293</v>
      </c>
      <c r="CJ109" s="85">
        <f ca="1">+CI109</f>
        <v>3314.3259583498293</v>
      </c>
      <c r="CK109" s="84">
        <f ca="1">SUM(CK105:CK108)</f>
        <v>3264.951939441642</v>
      </c>
      <c r="CL109" s="84">
        <f ca="1">SUM(CL105:CL108)</f>
        <v>3335.8919675464495</v>
      </c>
      <c r="CM109" s="84">
        <f ca="1">SUM(CM105:CM108)</f>
        <v>3595.6121353570315</v>
      </c>
      <c r="CN109" s="84">
        <f ca="1">SUM(CN105:CN108)</f>
        <v>3611.636579649758</v>
      </c>
      <c r="CO109" s="85">
        <f ca="1">+CN109</f>
        <v>3611.636579649758</v>
      </c>
      <c r="CP109" s="84">
        <f ca="1">SUM(CP105:CP108)</f>
        <v>3495.580996812982</v>
      </c>
      <c r="CQ109" s="84">
        <f ca="1">SUM(CQ105:CQ108)</f>
        <v>3468.4366809343037</v>
      </c>
      <c r="CR109" s="84">
        <f ca="1">SUM(CR105:CR108)</f>
        <v>3643.0651374128261</v>
      </c>
      <c r="CS109" s="84">
        <f ca="1">SUM(CS105:CS108)</f>
        <v>3576.0655997841691</v>
      </c>
      <c r="CT109" s="85">
        <f ca="1">+CS109</f>
        <v>3576.0655997841691</v>
      </c>
      <c r="CU109" s="84">
        <f ca="1">SUM(CU105:CU108)</f>
        <v>3432.7283532797624</v>
      </c>
      <c r="CV109" s="84">
        <f ca="1">SUM(CV105:CV108)</f>
        <v>3387.9087485408759</v>
      </c>
      <c r="CW109" s="84">
        <f ca="1">SUM(CW105:CW108)</f>
        <v>3546.8901816198186</v>
      </c>
      <c r="CX109" s="84">
        <f ca="1">SUM(CX105:CX108)</f>
        <v>3463.7623737133686</v>
      </c>
      <c r="CY109" s="85">
        <f ca="1">+CX109</f>
        <v>3463.7623737133686</v>
      </c>
      <c r="CZ109" s="86"/>
      <c r="DA109" s="7"/>
      <c r="DB109" s="738"/>
      <c r="DC109" s="797"/>
      <c r="DD109" s="7"/>
      <c r="DE109" s="734"/>
      <c r="DF109" s="7"/>
      <c r="DG109" s="738"/>
      <c r="DH109" s="738"/>
      <c r="DI109" s="733"/>
      <c r="DJ109" s="733"/>
      <c r="DK109" s="733"/>
      <c r="DL109" s="733"/>
      <c r="DM109" s="733"/>
      <c r="DN109" s="733"/>
      <c r="DU109" s="78"/>
      <c r="DV109" s="78"/>
      <c r="DW109" s="733"/>
      <c r="DX109" s="733"/>
      <c r="DY109" s="733"/>
      <c r="DZ109" s="733"/>
      <c r="EA109" s="733"/>
    </row>
    <row r="110" spans="1:131" x14ac:dyDescent="0.2">
      <c r="A110" s="418"/>
      <c r="B110" s="418"/>
      <c r="C110" s="48"/>
      <c r="D110" s="104"/>
      <c r="E110" s="104"/>
      <c r="F110" s="104"/>
      <c r="G110" s="104"/>
      <c r="H110" s="105"/>
      <c r="I110" s="104"/>
      <c r="J110" s="104"/>
      <c r="K110" s="104"/>
      <c r="L110" s="104"/>
      <c r="M110" s="105"/>
      <c r="N110" s="104"/>
      <c r="O110" s="104"/>
      <c r="P110" s="104"/>
      <c r="Q110" s="104"/>
      <c r="R110" s="105"/>
      <c r="S110" s="104"/>
      <c r="T110" s="104"/>
      <c r="U110" s="104"/>
      <c r="V110" s="104"/>
      <c r="W110" s="105"/>
      <c r="X110" s="104"/>
      <c r="Y110" s="104"/>
      <c r="Z110" s="104"/>
      <c r="AA110" s="108"/>
      <c r="AB110" s="105"/>
      <c r="AC110" s="104"/>
      <c r="AD110" s="104"/>
      <c r="AE110" s="104"/>
      <c r="AF110" s="108"/>
      <c r="AG110" s="105"/>
      <c r="AH110" s="108"/>
      <c r="AI110" s="108"/>
      <c r="AJ110" s="104"/>
      <c r="AK110" s="104"/>
      <c r="AL110" s="105"/>
      <c r="AM110" s="104"/>
      <c r="AN110" s="104"/>
      <c r="AO110" s="104"/>
      <c r="AP110" s="104"/>
      <c r="AQ110" s="105"/>
      <c r="AR110" s="104"/>
      <c r="AS110" s="104"/>
      <c r="AT110" s="106"/>
      <c r="AU110" s="106"/>
      <c r="AV110" s="105"/>
      <c r="AW110" s="104"/>
      <c r="AX110" s="104"/>
      <c r="AY110" s="104"/>
      <c r="AZ110" s="104"/>
      <c r="BA110" s="105"/>
      <c r="BB110" s="104"/>
      <c r="BC110" s="104"/>
      <c r="BD110" s="318"/>
      <c r="BE110" s="104"/>
      <c r="BF110" s="105"/>
      <c r="BG110" s="108"/>
      <c r="BH110" s="108"/>
      <c r="BI110" s="108"/>
      <c r="BJ110" s="108"/>
      <c r="BK110" s="105"/>
      <c r="BL110" s="108"/>
      <c r="BM110" s="108"/>
      <c r="BN110" s="555"/>
      <c r="BO110" s="562"/>
      <c r="BP110" s="105"/>
      <c r="BQ110" s="562"/>
      <c r="BR110" s="562"/>
      <c r="BS110" s="562"/>
      <c r="BT110" s="562"/>
      <c r="BU110" s="105"/>
      <c r="BV110" s="562"/>
      <c r="BW110" s="562"/>
      <c r="BX110" s="562"/>
      <c r="BY110" s="562"/>
      <c r="BZ110" s="105"/>
      <c r="CA110" s="104"/>
      <c r="CB110" s="104"/>
      <c r="CC110" s="104"/>
      <c r="CD110" s="104"/>
      <c r="CE110" s="105"/>
      <c r="CF110" s="104"/>
      <c r="CG110" s="104"/>
      <c r="CH110" s="104"/>
      <c r="CI110" s="104"/>
      <c r="CJ110" s="105"/>
      <c r="CK110" s="104"/>
      <c r="CL110" s="104"/>
      <c r="CM110" s="104"/>
      <c r="CN110" s="104"/>
      <c r="CO110" s="105"/>
      <c r="CP110" s="104"/>
      <c r="CQ110" s="104"/>
      <c r="CR110" s="104"/>
      <c r="CS110" s="104"/>
      <c r="CT110" s="105"/>
      <c r="CU110" s="104"/>
      <c r="CV110" s="104"/>
      <c r="CW110" s="104"/>
      <c r="CX110" s="104"/>
      <c r="CY110" s="105"/>
      <c r="CZ110" s="106"/>
      <c r="DB110" s="308"/>
      <c r="DC110" s="729"/>
      <c r="DD110" s="748"/>
      <c r="DG110" s="308"/>
      <c r="DH110" s="308"/>
      <c r="DI110" s="773"/>
      <c r="DJ110" s="730"/>
      <c r="DK110" s="730"/>
      <c r="DL110" s="730"/>
      <c r="DM110" s="730"/>
      <c r="DN110" s="730"/>
      <c r="DU110" s="48"/>
      <c r="DV110" s="48"/>
      <c r="DW110" s="730"/>
      <c r="DX110" s="730"/>
      <c r="DY110" s="730"/>
      <c r="DZ110" s="730"/>
      <c r="EA110" s="730"/>
    </row>
    <row r="111" spans="1:131" x14ac:dyDescent="0.2">
      <c r="A111" s="418" t="s">
        <v>126</v>
      </c>
      <c r="B111" s="418"/>
      <c r="C111" s="48"/>
      <c r="D111" s="108">
        <v>2293.5479999999998</v>
      </c>
      <c r="E111" s="108">
        <v>2146.9279999999999</v>
      </c>
      <c r="F111" s="108">
        <v>1970.819</v>
      </c>
      <c r="G111" s="108">
        <v>1778.8530000000001</v>
      </c>
      <c r="H111" s="105">
        <f>+G111</f>
        <v>1778.8530000000001</v>
      </c>
      <c r="I111" s="108">
        <v>1736.1590000000001</v>
      </c>
      <c r="J111" s="108">
        <v>1720.588</v>
      </c>
      <c r="K111" s="108">
        <v>1716.6849999999999</v>
      </c>
      <c r="L111" s="108">
        <v>3204.7069999999999</v>
      </c>
      <c r="M111" s="105">
        <f>+L111</f>
        <v>3204.7069999999999</v>
      </c>
      <c r="N111" s="108">
        <v>2968.7919999999999</v>
      </c>
      <c r="O111" s="108">
        <v>2704.4670000000001</v>
      </c>
      <c r="P111" s="108">
        <v>2591.739</v>
      </c>
      <c r="Q111" s="108">
        <v>2515.7800000000002</v>
      </c>
      <c r="R111" s="105">
        <f>+Q111</f>
        <v>2515.7800000000002</v>
      </c>
      <c r="S111" s="108">
        <v>2481.8000000000002</v>
      </c>
      <c r="T111" s="108">
        <v>3987.7</v>
      </c>
      <c r="U111" s="108">
        <v>3949.4</v>
      </c>
      <c r="V111" s="108">
        <v>3714.9</v>
      </c>
      <c r="W111" s="105">
        <f>+V111</f>
        <v>3714.9</v>
      </c>
      <c r="X111" s="108">
        <v>4381.8</v>
      </c>
      <c r="Y111" s="108">
        <v>4291.8</v>
      </c>
      <c r="Z111" s="108">
        <v>4235.2</v>
      </c>
      <c r="AA111" s="108">
        <f>+AB111</f>
        <v>4648.7</v>
      </c>
      <c r="AB111" s="105">
        <v>4648.7</v>
      </c>
      <c r="AC111" s="108">
        <v>4575.1000000000004</v>
      </c>
      <c r="AD111" s="108">
        <v>4486.5</v>
      </c>
      <c r="AE111" s="108">
        <v>4124.3999999999996</v>
      </c>
      <c r="AF111" s="108">
        <f>+AG111</f>
        <v>3971.1</v>
      </c>
      <c r="AG111" s="105">
        <v>3971.1</v>
      </c>
      <c r="AH111" s="108">
        <v>3712.1</v>
      </c>
      <c r="AI111" s="108">
        <v>3690.8</v>
      </c>
      <c r="AJ111" s="108">
        <v>3616</v>
      </c>
      <c r="AK111" s="108">
        <v>3277.1</v>
      </c>
      <c r="AL111" s="105">
        <f>AK111</f>
        <v>3277.1</v>
      </c>
      <c r="AM111" s="108">
        <v>3201</v>
      </c>
      <c r="AN111" s="108">
        <v>3127.7</v>
      </c>
      <c r="AO111" s="108">
        <v>3133</v>
      </c>
      <c r="AP111" s="108">
        <v>3136.7</v>
      </c>
      <c r="AQ111" s="105">
        <f>AP111</f>
        <v>3136.7</v>
      </c>
      <c r="AR111" s="108">
        <v>2728.9</v>
      </c>
      <c r="AS111" s="108">
        <v>2734.7</v>
      </c>
      <c r="AT111" s="135">
        <v>2577.9</v>
      </c>
      <c r="AU111" s="135">
        <v>2421.4</v>
      </c>
      <c r="AV111" s="105">
        <f>AU111</f>
        <v>2421.4</v>
      </c>
      <c r="AW111" s="135">
        <v>3285.4</v>
      </c>
      <c r="AX111" s="135">
        <v>3928.7</v>
      </c>
      <c r="AY111" s="135">
        <v>3928.9</v>
      </c>
      <c r="AZ111" s="135">
        <v>3277.8</v>
      </c>
      <c r="BA111" s="105">
        <f>AZ111</f>
        <v>3277.8</v>
      </c>
      <c r="BB111" s="135">
        <v>4817.7</v>
      </c>
      <c r="BC111" s="135">
        <v>6912.7</v>
      </c>
      <c r="BD111" s="135">
        <v>6897</v>
      </c>
      <c r="BE111" s="135">
        <v>6373.3</v>
      </c>
      <c r="BF111" s="105">
        <f>BE111</f>
        <v>6373.3</v>
      </c>
      <c r="BG111" s="108">
        <v>6345.6</v>
      </c>
      <c r="BH111" s="108">
        <v>6323.2</v>
      </c>
      <c r="BI111" s="108">
        <v>7081.5</v>
      </c>
      <c r="BJ111" s="108">
        <v>7137.5</v>
      </c>
      <c r="BK111" s="105">
        <f>BJ111</f>
        <v>7137.5</v>
      </c>
      <c r="BL111" s="108">
        <v>7038.2</v>
      </c>
      <c r="BM111" s="108">
        <v>7238.2</v>
      </c>
      <c r="BN111" s="555">
        <v>6515</v>
      </c>
      <c r="BO111" s="562">
        <v>6816.2</v>
      </c>
      <c r="BP111" s="105">
        <f>BO111</f>
        <v>6816.2</v>
      </c>
      <c r="BQ111" s="562">
        <v>6690.6</v>
      </c>
      <c r="BR111" s="562">
        <v>7021.6</v>
      </c>
      <c r="BS111" s="562">
        <v>7362.5</v>
      </c>
      <c r="BT111" s="562">
        <v>7720.7</v>
      </c>
      <c r="BU111" s="105">
        <f>BT111</f>
        <v>7720.7</v>
      </c>
      <c r="BV111" s="562">
        <v>8077.2</v>
      </c>
      <c r="BW111" s="562">
        <v>8036.9</v>
      </c>
      <c r="BX111" s="562">
        <v>8114.2</v>
      </c>
      <c r="BY111" s="562">
        <v>9417.6</v>
      </c>
      <c r="BZ111" s="105">
        <f>BY111</f>
        <v>9417.6</v>
      </c>
      <c r="CA111" s="108">
        <f t="shared" ref="CA111:CL111" si="134">BZ111</f>
        <v>9417.6</v>
      </c>
      <c r="CB111" s="108">
        <f t="shared" si="134"/>
        <v>9417.6</v>
      </c>
      <c r="CC111" s="108">
        <f t="shared" si="134"/>
        <v>9417.6</v>
      </c>
      <c r="CD111" s="108">
        <f t="shared" si="134"/>
        <v>9417.6</v>
      </c>
      <c r="CE111" s="105">
        <f t="shared" si="134"/>
        <v>9417.6</v>
      </c>
      <c r="CF111" s="108">
        <f t="shared" si="134"/>
        <v>9417.6</v>
      </c>
      <c r="CG111" s="108">
        <f t="shared" si="134"/>
        <v>9417.6</v>
      </c>
      <c r="CH111" s="108">
        <f t="shared" si="134"/>
        <v>9417.6</v>
      </c>
      <c r="CI111" s="108">
        <f t="shared" si="134"/>
        <v>9417.6</v>
      </c>
      <c r="CJ111" s="105">
        <f t="shared" si="134"/>
        <v>9417.6</v>
      </c>
      <c r="CK111" s="108">
        <f t="shared" si="134"/>
        <v>9417.6</v>
      </c>
      <c r="CL111" s="108">
        <f t="shared" si="134"/>
        <v>9417.6</v>
      </c>
      <c r="CM111" s="108">
        <f t="shared" ref="CM111:CY111" si="135">CL111</f>
        <v>9417.6</v>
      </c>
      <c r="CN111" s="108">
        <f t="shared" si="135"/>
        <v>9417.6</v>
      </c>
      <c r="CO111" s="105">
        <f t="shared" si="135"/>
        <v>9417.6</v>
      </c>
      <c r="CP111" s="108">
        <f t="shared" si="135"/>
        <v>9417.6</v>
      </c>
      <c r="CQ111" s="108">
        <f t="shared" si="135"/>
        <v>9417.6</v>
      </c>
      <c r="CR111" s="108">
        <f t="shared" si="135"/>
        <v>9417.6</v>
      </c>
      <c r="CS111" s="108">
        <f t="shared" si="135"/>
        <v>9417.6</v>
      </c>
      <c r="CT111" s="105">
        <f t="shared" si="135"/>
        <v>9417.6</v>
      </c>
      <c r="CU111" s="108">
        <f t="shared" si="135"/>
        <v>9417.6</v>
      </c>
      <c r="CV111" s="108">
        <f t="shared" si="135"/>
        <v>9417.6</v>
      </c>
      <c r="CW111" s="108">
        <f t="shared" si="135"/>
        <v>9417.6</v>
      </c>
      <c r="CX111" s="108">
        <f t="shared" si="135"/>
        <v>9417.6</v>
      </c>
      <c r="CY111" s="105">
        <f t="shared" si="135"/>
        <v>9417.6</v>
      </c>
      <c r="CZ111" s="106"/>
      <c r="DB111" s="308"/>
      <c r="DC111" s="308"/>
      <c r="DD111" s="748"/>
      <c r="DG111" s="308"/>
      <c r="DH111" s="308"/>
      <c r="DI111" s="773"/>
      <c r="DJ111" s="730"/>
      <c r="DK111" s="730"/>
      <c r="DL111" s="730"/>
      <c r="DM111" s="730"/>
      <c r="DN111" s="730"/>
      <c r="DU111" s="48"/>
      <c r="DV111" s="48"/>
      <c r="DW111" s="730"/>
      <c r="DX111" s="730"/>
      <c r="DY111" s="730"/>
      <c r="DZ111" s="730"/>
      <c r="EA111" s="730"/>
    </row>
    <row r="112" spans="1:131" x14ac:dyDescent="0.2">
      <c r="A112" s="48" t="s">
        <v>127</v>
      </c>
      <c r="B112" s="48"/>
      <c r="C112" s="48"/>
      <c r="D112" s="108">
        <v>253.46700000000001</v>
      </c>
      <c r="E112" s="108">
        <v>151.31899999999999</v>
      </c>
      <c r="F112" s="108">
        <v>169.46199999999999</v>
      </c>
      <c r="G112" s="108">
        <v>187.41</v>
      </c>
      <c r="H112" s="105">
        <f>+G112</f>
        <v>187.41</v>
      </c>
      <c r="I112" s="108">
        <v>178.25800000000001</v>
      </c>
      <c r="J112" s="108">
        <v>197.83500000000001</v>
      </c>
      <c r="K112" s="108">
        <v>206.429</v>
      </c>
      <c r="L112" s="108">
        <v>389.88600000000002</v>
      </c>
      <c r="M112" s="105">
        <f>+L112</f>
        <v>389.88600000000002</v>
      </c>
      <c r="N112" s="108">
        <v>382.05500000000001</v>
      </c>
      <c r="O112" s="108">
        <v>356.238</v>
      </c>
      <c r="P112" s="108">
        <v>374.69299999999998</v>
      </c>
      <c r="Q112" s="108">
        <v>371.24599999999998</v>
      </c>
      <c r="R112" s="105">
        <f>+Q112</f>
        <v>371.24599999999998</v>
      </c>
      <c r="S112" s="108">
        <v>373.6</v>
      </c>
      <c r="T112" s="108">
        <v>453.6</v>
      </c>
      <c r="U112" s="108">
        <v>457.9</v>
      </c>
      <c r="V112" s="108">
        <v>474.1</v>
      </c>
      <c r="W112" s="105">
        <f>+V112</f>
        <v>474.1</v>
      </c>
      <c r="X112" s="108">
        <v>490.8</v>
      </c>
      <c r="Y112" s="108">
        <v>473.7</v>
      </c>
      <c r="Z112" s="108">
        <v>498.2</v>
      </c>
      <c r="AA112" s="108">
        <f>+AB112</f>
        <v>535.79999999999995</v>
      </c>
      <c r="AB112" s="105">
        <v>535.79999999999995</v>
      </c>
      <c r="AC112" s="108">
        <v>540.79999999999995</v>
      </c>
      <c r="AD112" s="108">
        <v>549.70000000000005</v>
      </c>
      <c r="AE112" s="108">
        <v>551.20000000000005</v>
      </c>
      <c r="AF112" s="108">
        <f>+AG112</f>
        <v>543.6</v>
      </c>
      <c r="AG112" s="105">
        <v>543.6</v>
      </c>
      <c r="AH112" s="108">
        <v>524</v>
      </c>
      <c r="AI112" s="108">
        <v>527.70000000000005</v>
      </c>
      <c r="AJ112" s="108">
        <v>550.1</v>
      </c>
      <c r="AK112" s="108">
        <v>536.20000000000005</v>
      </c>
      <c r="AL112" s="105">
        <f>AK112</f>
        <v>536.20000000000005</v>
      </c>
      <c r="AM112" s="108">
        <v>547.5</v>
      </c>
      <c r="AN112" s="108">
        <v>544</v>
      </c>
      <c r="AO112" s="104">
        <v>565.4</v>
      </c>
      <c r="AP112" s="104">
        <v>583.1</v>
      </c>
      <c r="AQ112" s="105">
        <f>AP112</f>
        <v>583.1</v>
      </c>
      <c r="AR112" s="108">
        <v>590.79999999999995</v>
      </c>
      <c r="AS112" s="108">
        <v>596.9</v>
      </c>
      <c r="AT112" s="135">
        <v>594.29999999999995</v>
      </c>
      <c r="AU112" s="135">
        <v>608.70000000000005</v>
      </c>
      <c r="AV112" s="105">
        <f>AU112</f>
        <v>608.70000000000005</v>
      </c>
      <c r="AW112" s="135">
        <v>607.1</v>
      </c>
      <c r="AX112" s="135">
        <v>618.5</v>
      </c>
      <c r="AY112" s="135">
        <v>618.4</v>
      </c>
      <c r="AZ112" s="135">
        <v>599.6</v>
      </c>
      <c r="BA112" s="105">
        <f>AZ112</f>
        <v>599.6</v>
      </c>
      <c r="BB112" s="135">
        <v>631.1</v>
      </c>
      <c r="BC112" s="135">
        <v>696.8</v>
      </c>
      <c r="BD112" s="135">
        <v>710</v>
      </c>
      <c r="BE112" s="108">
        <v>762.6</v>
      </c>
      <c r="BF112" s="105">
        <f>BE112</f>
        <v>762.6</v>
      </c>
      <c r="BG112" s="108">
        <v>795.9</v>
      </c>
      <c r="BH112" s="108">
        <v>815</v>
      </c>
      <c r="BI112" s="108">
        <v>831.4</v>
      </c>
      <c r="BJ112" s="108">
        <v>818.9</v>
      </c>
      <c r="BK112" s="105">
        <f>BJ112</f>
        <v>818.9</v>
      </c>
      <c r="BL112" s="108">
        <v>860</v>
      </c>
      <c r="BM112" s="108">
        <v>894.4</v>
      </c>
      <c r="BN112" s="555">
        <v>986.4</v>
      </c>
      <c r="BO112" s="562">
        <v>1022.2</v>
      </c>
      <c r="BP112" s="105">
        <f>BO112</f>
        <v>1022.2</v>
      </c>
      <c r="BQ112" s="562">
        <v>1092.2</v>
      </c>
      <c r="BR112" s="562">
        <v>1164.0999999999999</v>
      </c>
      <c r="BS112" s="562">
        <v>1124</v>
      </c>
      <c r="BT112" s="562">
        <v>1133.5999999999999</v>
      </c>
      <c r="BU112" s="105">
        <f>BT112</f>
        <v>1133.5999999999999</v>
      </c>
      <c r="BV112" s="562">
        <v>1135.5</v>
      </c>
      <c r="BW112" s="562">
        <v>1167.0999999999999</v>
      </c>
      <c r="BX112" s="562">
        <v>1233.5999999999999</v>
      </c>
      <c r="BY112" s="562">
        <v>718.3</v>
      </c>
      <c r="BZ112" s="105">
        <f>BY112</f>
        <v>718.3</v>
      </c>
      <c r="CA112" s="136">
        <f ca="1">+BZ112+(CA63-CA50)</f>
        <v>779.77280320590535</v>
      </c>
      <c r="CB112" s="136">
        <f ca="1">+CA112+(CB63-CB50)</f>
        <v>849.18804277229947</v>
      </c>
      <c r="CC112" s="136">
        <f ca="1">+CB112+(CC63-CC50)</f>
        <v>906.76841417906928</v>
      </c>
      <c r="CD112" s="136">
        <f ca="1">+CC112+(CD63-CD50)</f>
        <v>958.02708142377207</v>
      </c>
      <c r="CE112" s="105">
        <f ca="1">CD112</f>
        <v>958.02708142377207</v>
      </c>
      <c r="CF112" s="136">
        <f ca="1">+CE112+(CF63-CF50)</f>
        <v>1008.9849713193713</v>
      </c>
      <c r="CG112" s="136">
        <f ca="1">+CF112+(CG63-CG50)</f>
        <v>1066.4198009120564</v>
      </c>
      <c r="CH112" s="136">
        <f ca="1">+CG112+(CH63-CH50)</f>
        <v>1113.8324852064868</v>
      </c>
      <c r="CI112" s="136">
        <f ca="1">+CH112+(CI63-CI50)</f>
        <v>1156.0663492245055</v>
      </c>
      <c r="CJ112" s="105">
        <f ca="1">CI112</f>
        <v>1156.0663492245055</v>
      </c>
      <c r="CK112" s="136">
        <f ca="1">+CJ112+(CK63-CK50)</f>
        <v>1207.0923715606596</v>
      </c>
      <c r="CL112" s="136">
        <f ca="1">+CK112+(CL63-CL50)</f>
        <v>1264.6597081911441</v>
      </c>
      <c r="CM112" s="136">
        <f ca="1">+CL112+(CM63-CM50)</f>
        <v>1312.0484377254513</v>
      </c>
      <c r="CN112" s="136">
        <f ca="1">+CM112+(CN63-CN50)</f>
        <v>1354.4649351666262</v>
      </c>
      <c r="CO112" s="105">
        <f ca="1">CN112</f>
        <v>1354.4649351666262</v>
      </c>
      <c r="CP112" s="136">
        <f ca="1">+CO112+(CP63-CP50)</f>
        <v>1405.2424191768516</v>
      </c>
      <c r="CQ112" s="136">
        <f ca="1">+CP112+(CQ63-CQ50)</f>
        <v>1462.5165679240088</v>
      </c>
      <c r="CR112" s="136">
        <f ca="1">+CQ112+(CR63-CR50)</f>
        <v>1509.5854339221751</v>
      </c>
      <c r="CS112" s="136">
        <f ca="1">+CR112+(CS63-CS50)</f>
        <v>1551.8897291905971</v>
      </c>
      <c r="CT112" s="105">
        <f ca="1">CS112</f>
        <v>1551.8897291905971</v>
      </c>
      <c r="CU112" s="136">
        <f ca="1">+CT112+(CU63-CU50)</f>
        <v>1601.8558397481247</v>
      </c>
      <c r="CV112" s="136">
        <f ca="1">+CU112+(CV63-CV50)</f>
        <v>1658.1573691836606</v>
      </c>
      <c r="CW112" s="136">
        <f ca="1">+CV112+(CW63-CW50)</f>
        <v>1704.3529771024605</v>
      </c>
      <c r="CX112" s="136">
        <f ca="1">+CW112+(CX63-CX50)</f>
        <v>1745.9855630724694</v>
      </c>
      <c r="CY112" s="105">
        <f ca="1">CX112</f>
        <v>1745.9855630724694</v>
      </c>
      <c r="CZ112" s="106"/>
      <c r="DB112" s="308"/>
      <c r="DC112" s="825"/>
      <c r="DD112" s="748"/>
      <c r="DG112" s="308"/>
      <c r="DH112" s="308"/>
      <c r="DI112" s="730"/>
      <c r="DJ112" s="730"/>
      <c r="DK112" s="730"/>
      <c r="DL112" s="730"/>
      <c r="DM112" s="730"/>
      <c r="DN112" s="730"/>
      <c r="DU112" s="48"/>
      <c r="DV112" s="48"/>
      <c r="DW112" s="730"/>
      <c r="DX112" s="730"/>
      <c r="DY112" s="730"/>
      <c r="DZ112" s="730"/>
      <c r="EA112" s="730"/>
    </row>
    <row r="113" spans="1:131" x14ac:dyDescent="0.2">
      <c r="A113" s="48" t="s">
        <v>128</v>
      </c>
      <c r="B113" s="48"/>
      <c r="C113" s="48"/>
      <c r="D113" s="203">
        <v>152.08799999999999</v>
      </c>
      <c r="E113" s="203">
        <v>151.63300000000001</v>
      </c>
      <c r="F113" s="203">
        <v>165.738</v>
      </c>
      <c r="G113" s="203">
        <v>184.989</v>
      </c>
      <c r="H113" s="204">
        <f>+G113</f>
        <v>184.989</v>
      </c>
      <c r="I113" s="203">
        <v>156.63300000000001</v>
      </c>
      <c r="J113" s="203">
        <v>152.79</v>
      </c>
      <c r="K113" s="203">
        <v>159.95400000000001</v>
      </c>
      <c r="L113" s="203">
        <v>291.57900000000001</v>
      </c>
      <c r="M113" s="204">
        <f>+L113</f>
        <v>291.57900000000001</v>
      </c>
      <c r="N113" s="203">
        <v>274.55700000000002</v>
      </c>
      <c r="O113" s="203">
        <v>261.71100000000001</v>
      </c>
      <c r="P113" s="203">
        <v>228.51499999999999</v>
      </c>
      <c r="Q113" s="205">
        <v>240.297</v>
      </c>
      <c r="R113" s="204">
        <f>+Q113</f>
        <v>240.297</v>
      </c>
      <c r="S113" s="205">
        <v>259</v>
      </c>
      <c r="T113" s="205">
        <v>272.60000000000002</v>
      </c>
      <c r="U113" s="205">
        <v>266.89999999999998</v>
      </c>
      <c r="V113" s="205">
        <v>240.6</v>
      </c>
      <c r="W113" s="204">
        <f>+V113</f>
        <v>240.6</v>
      </c>
      <c r="X113" s="205">
        <v>317.8</v>
      </c>
      <c r="Y113" s="205">
        <v>324.8</v>
      </c>
      <c r="Z113" s="205">
        <v>352.9</v>
      </c>
      <c r="AA113" s="205">
        <f>+AB113</f>
        <v>384.1</v>
      </c>
      <c r="AB113" s="204">
        <v>384.1</v>
      </c>
      <c r="AC113" s="205">
        <v>374</v>
      </c>
      <c r="AD113" s="205">
        <v>368.7</v>
      </c>
      <c r="AE113" s="205">
        <v>362.8</v>
      </c>
      <c r="AF113" s="205">
        <f>+AG113</f>
        <v>287.10000000000002</v>
      </c>
      <c r="AG113" s="204">
        <v>287.10000000000002</v>
      </c>
      <c r="AH113" s="205">
        <v>284.5</v>
      </c>
      <c r="AI113" s="205">
        <v>271.3</v>
      </c>
      <c r="AJ113" s="205">
        <v>288.89999999999998</v>
      </c>
      <c r="AK113" s="205">
        <v>332.1</v>
      </c>
      <c r="AL113" s="204">
        <f>+AK113</f>
        <v>332.1</v>
      </c>
      <c r="AM113" s="205">
        <v>316</v>
      </c>
      <c r="AN113" s="205">
        <v>325.8</v>
      </c>
      <c r="AO113" s="203">
        <v>325.10000000000002</v>
      </c>
      <c r="AP113" s="203">
        <v>233</v>
      </c>
      <c r="AQ113" s="204">
        <f>AP113</f>
        <v>233</v>
      </c>
      <c r="AR113" s="205">
        <v>257.2</v>
      </c>
      <c r="AS113" s="205">
        <v>217.2</v>
      </c>
      <c r="AT113" s="209">
        <v>236.8</v>
      </c>
      <c r="AU113" s="209">
        <v>204.2</v>
      </c>
      <c r="AV113" s="204">
        <f>AU113</f>
        <v>204.2</v>
      </c>
      <c r="AW113" s="209">
        <v>228</v>
      </c>
      <c r="AX113" s="209">
        <v>219.2</v>
      </c>
      <c r="AY113" s="209">
        <v>212.3</v>
      </c>
      <c r="AZ113" s="209">
        <v>222.5</v>
      </c>
      <c r="BA113" s="204">
        <f>AZ113</f>
        <v>222.5</v>
      </c>
      <c r="BB113" s="209">
        <v>209</v>
      </c>
      <c r="BC113" s="209">
        <v>192.3</v>
      </c>
      <c r="BD113" s="209">
        <v>184.5</v>
      </c>
      <c r="BE113" s="205">
        <v>159.19999999999999</v>
      </c>
      <c r="BF113" s="204">
        <f>BE113</f>
        <v>159.19999999999999</v>
      </c>
      <c r="BG113" s="205">
        <v>159.19999999999999</v>
      </c>
      <c r="BH113" s="205">
        <v>155.5</v>
      </c>
      <c r="BI113" s="205">
        <v>184.1</v>
      </c>
      <c r="BJ113" s="205">
        <v>176.1</v>
      </c>
      <c r="BK113" s="204">
        <f>BJ113</f>
        <v>176.1</v>
      </c>
      <c r="BL113" s="205">
        <v>176.9</v>
      </c>
      <c r="BM113" s="205">
        <v>163.6</v>
      </c>
      <c r="BN113" s="556">
        <f>137.7+104.3</f>
        <v>242</v>
      </c>
      <c r="BO113" s="563">
        <v>162.5</v>
      </c>
      <c r="BP113" s="204">
        <f>BO113</f>
        <v>162.5</v>
      </c>
      <c r="BQ113" s="563">
        <v>159.9</v>
      </c>
      <c r="BR113" s="563">
        <v>158</v>
      </c>
      <c r="BS113" s="563">
        <v>199.3</v>
      </c>
      <c r="BT113" s="563">
        <v>165.7</v>
      </c>
      <c r="BU113" s="204">
        <f>BT113</f>
        <v>165.7</v>
      </c>
      <c r="BV113" s="563">
        <v>166.5</v>
      </c>
      <c r="BW113" s="563">
        <v>179.1</v>
      </c>
      <c r="BX113" s="563">
        <v>214.3</v>
      </c>
      <c r="BY113" s="563">
        <v>395.4</v>
      </c>
      <c r="BZ113" s="204">
        <f>BY113</f>
        <v>395.4</v>
      </c>
      <c r="CA113" s="210">
        <f>+BY113</f>
        <v>395.4</v>
      </c>
      <c r="CB113" s="210">
        <f>+CA113</f>
        <v>395.4</v>
      </c>
      <c r="CC113" s="210">
        <f>+CB113</f>
        <v>395.4</v>
      </c>
      <c r="CD113" s="210">
        <f>+CC113</f>
        <v>395.4</v>
      </c>
      <c r="CE113" s="204">
        <f>CD113</f>
        <v>395.4</v>
      </c>
      <c r="CF113" s="210">
        <f>+CD113</f>
        <v>395.4</v>
      </c>
      <c r="CG113" s="210">
        <f>+CF113</f>
        <v>395.4</v>
      </c>
      <c r="CH113" s="210">
        <f>+CG113</f>
        <v>395.4</v>
      </c>
      <c r="CI113" s="210">
        <f>+CH113</f>
        <v>395.4</v>
      </c>
      <c r="CJ113" s="204">
        <f>CI113</f>
        <v>395.4</v>
      </c>
      <c r="CK113" s="210">
        <f>+CI113</f>
        <v>395.4</v>
      </c>
      <c r="CL113" s="210">
        <f>+CK113</f>
        <v>395.4</v>
      </c>
      <c r="CM113" s="210">
        <f>+CL113</f>
        <v>395.4</v>
      </c>
      <c r="CN113" s="210">
        <f>+CM113</f>
        <v>395.4</v>
      </c>
      <c r="CO113" s="204">
        <f>CN113</f>
        <v>395.4</v>
      </c>
      <c r="CP113" s="210">
        <f>+CN113</f>
        <v>395.4</v>
      </c>
      <c r="CQ113" s="210">
        <f>+CP113</f>
        <v>395.4</v>
      </c>
      <c r="CR113" s="210">
        <f>+CQ113</f>
        <v>395.4</v>
      </c>
      <c r="CS113" s="210">
        <f>+CR113</f>
        <v>395.4</v>
      </c>
      <c r="CT113" s="204">
        <f>CS113</f>
        <v>395.4</v>
      </c>
      <c r="CU113" s="210">
        <f>+CS113</f>
        <v>395.4</v>
      </c>
      <c r="CV113" s="210">
        <f>+CU113</f>
        <v>395.4</v>
      </c>
      <c r="CW113" s="210">
        <f>+CV113</f>
        <v>395.4</v>
      </c>
      <c r="CX113" s="210">
        <f>+CW113</f>
        <v>395.4</v>
      </c>
      <c r="CY113" s="204">
        <f>CX113</f>
        <v>395.4</v>
      </c>
      <c r="CZ113" s="207"/>
      <c r="DB113" s="308"/>
      <c r="DC113" s="825"/>
      <c r="DD113" s="748"/>
      <c r="DG113" s="308"/>
      <c r="DH113" s="308"/>
      <c r="DI113" s="730"/>
      <c r="DJ113" s="730"/>
      <c r="DK113" s="730"/>
      <c r="DL113" s="730"/>
      <c r="DM113" s="730"/>
      <c r="DN113" s="730"/>
      <c r="DU113" s="48"/>
      <c r="DV113" s="48"/>
      <c r="DW113" s="730"/>
      <c r="DX113" s="730"/>
      <c r="DY113" s="730"/>
      <c r="DZ113" s="730"/>
      <c r="EA113" s="730"/>
    </row>
    <row r="114" spans="1:131" x14ac:dyDescent="0.2">
      <c r="A114" s="78"/>
      <c r="B114" s="78" t="s">
        <v>129</v>
      </c>
      <c r="C114" s="78"/>
      <c r="D114" s="84">
        <f t="shared" ref="D114:AI114" si="136">SUM(D111:D113)+D109</f>
        <v>3919.2939999999999</v>
      </c>
      <c r="E114" s="84">
        <f t="shared" si="136"/>
        <v>3303.9619999999995</v>
      </c>
      <c r="F114" s="84">
        <f t="shared" si="136"/>
        <v>3419.3429999999998</v>
      </c>
      <c r="G114" s="84">
        <f t="shared" si="136"/>
        <v>3181.0540000000001</v>
      </c>
      <c r="H114" s="85">
        <f t="shared" si="136"/>
        <v>3181.0540000000001</v>
      </c>
      <c r="I114" s="84">
        <f t="shared" si="136"/>
        <v>3238.3910000000001</v>
      </c>
      <c r="J114" s="84">
        <f t="shared" si="136"/>
        <v>3274.4810000000002</v>
      </c>
      <c r="K114" s="84">
        <f t="shared" si="136"/>
        <v>3410.6410000000001</v>
      </c>
      <c r="L114" s="84">
        <f t="shared" si="136"/>
        <v>5024.259</v>
      </c>
      <c r="M114" s="85">
        <f t="shared" si="136"/>
        <v>5024.259</v>
      </c>
      <c r="N114" s="84">
        <f t="shared" si="136"/>
        <v>4759.2339999999995</v>
      </c>
      <c r="O114" s="84">
        <f t="shared" si="136"/>
        <v>4629.3540000000003</v>
      </c>
      <c r="P114" s="84">
        <f t="shared" si="136"/>
        <v>4795.7839999999997</v>
      </c>
      <c r="Q114" s="84">
        <f t="shared" si="136"/>
        <v>4425.3829999999998</v>
      </c>
      <c r="R114" s="85">
        <f t="shared" si="136"/>
        <v>4425.3829999999998</v>
      </c>
      <c r="S114" s="84">
        <f t="shared" si="136"/>
        <v>4551.5</v>
      </c>
      <c r="T114" s="84">
        <f t="shared" si="136"/>
        <v>6281.7000000000007</v>
      </c>
      <c r="U114" s="84">
        <f t="shared" si="136"/>
        <v>6517.4</v>
      </c>
      <c r="V114" s="84">
        <f t="shared" si="136"/>
        <v>6020.7000000000007</v>
      </c>
      <c r="W114" s="85">
        <f t="shared" si="136"/>
        <v>6020.7000000000007</v>
      </c>
      <c r="X114" s="84">
        <f t="shared" si="136"/>
        <v>6697.9000000000005</v>
      </c>
      <c r="Y114" s="84">
        <f t="shared" si="136"/>
        <v>6542.3</v>
      </c>
      <c r="Z114" s="84">
        <f t="shared" si="136"/>
        <v>6680.9</v>
      </c>
      <c r="AA114" s="87">
        <f t="shared" si="136"/>
        <v>7286.9000000000005</v>
      </c>
      <c r="AB114" s="85">
        <f t="shared" si="136"/>
        <v>7286.9000000000005</v>
      </c>
      <c r="AC114" s="84">
        <f t="shared" si="136"/>
        <v>7276.2000000000007</v>
      </c>
      <c r="AD114" s="84">
        <f t="shared" si="136"/>
        <v>6746</v>
      </c>
      <c r="AE114" s="84">
        <f t="shared" si="136"/>
        <v>6766.7999999999993</v>
      </c>
      <c r="AF114" s="87">
        <f t="shared" si="136"/>
        <v>6128.2000000000007</v>
      </c>
      <c r="AG114" s="85">
        <f t="shared" si="136"/>
        <v>6128.2000000000007</v>
      </c>
      <c r="AH114" s="87">
        <f t="shared" si="136"/>
        <v>6076.3</v>
      </c>
      <c r="AI114" s="87">
        <f t="shared" si="136"/>
        <v>5918.6</v>
      </c>
      <c r="AJ114" s="84">
        <f t="shared" ref="AJ114:BO114" si="137">SUM(AJ111:AJ113)+AJ109</f>
        <v>6031.4</v>
      </c>
      <c r="AK114" s="84">
        <f t="shared" si="137"/>
        <v>5518</v>
      </c>
      <c r="AL114" s="85">
        <f t="shared" si="137"/>
        <v>5518</v>
      </c>
      <c r="AM114" s="84">
        <f t="shared" si="137"/>
        <v>5598.7000000000007</v>
      </c>
      <c r="AN114" s="84">
        <f t="shared" si="137"/>
        <v>5447.2</v>
      </c>
      <c r="AO114" s="84">
        <f t="shared" si="137"/>
        <v>5538.8</v>
      </c>
      <c r="AP114" s="84">
        <f t="shared" si="137"/>
        <v>4615.7</v>
      </c>
      <c r="AQ114" s="85">
        <f t="shared" si="137"/>
        <v>4615.7</v>
      </c>
      <c r="AR114" s="87">
        <f t="shared" si="137"/>
        <v>4360.2999999999993</v>
      </c>
      <c r="AS114" s="84">
        <f t="shared" si="137"/>
        <v>4335.5999999999995</v>
      </c>
      <c r="AT114" s="86">
        <f t="shared" si="137"/>
        <v>4587.2</v>
      </c>
      <c r="AU114" s="86">
        <f t="shared" si="137"/>
        <v>4433.8999999999996</v>
      </c>
      <c r="AV114" s="85">
        <f t="shared" si="137"/>
        <v>4433.8999999999996</v>
      </c>
      <c r="AW114" s="86">
        <f t="shared" si="137"/>
        <v>4708.3999999999996</v>
      </c>
      <c r="AX114" s="86">
        <f t="shared" si="137"/>
        <v>5422.4</v>
      </c>
      <c r="AY114" s="86">
        <f t="shared" si="137"/>
        <v>5547.4000000000005</v>
      </c>
      <c r="AZ114" s="86">
        <f t="shared" si="137"/>
        <v>4777.7999999999993</v>
      </c>
      <c r="BA114" s="85">
        <f t="shared" si="137"/>
        <v>4777.7999999999993</v>
      </c>
      <c r="BB114" s="86">
        <f t="shared" si="137"/>
        <v>6455</v>
      </c>
      <c r="BC114" s="86">
        <f t="shared" si="137"/>
        <v>9612.4</v>
      </c>
      <c r="BD114" s="86">
        <f t="shared" si="137"/>
        <v>9546.5</v>
      </c>
      <c r="BE114" s="87">
        <f t="shared" si="137"/>
        <v>9320.8000000000011</v>
      </c>
      <c r="BF114" s="85">
        <f t="shared" si="137"/>
        <v>9320.8000000000011</v>
      </c>
      <c r="BG114" s="87">
        <f t="shared" si="137"/>
        <v>9555.4</v>
      </c>
      <c r="BH114" s="87">
        <f t="shared" si="137"/>
        <v>9170</v>
      </c>
      <c r="BI114" s="87">
        <f t="shared" si="137"/>
        <v>9345.5</v>
      </c>
      <c r="BJ114" s="87">
        <f t="shared" si="137"/>
        <v>9263.2000000000007</v>
      </c>
      <c r="BK114" s="85">
        <f t="shared" si="137"/>
        <v>9263.2000000000007</v>
      </c>
      <c r="BL114" s="87">
        <f t="shared" si="137"/>
        <v>9195.4</v>
      </c>
      <c r="BM114" s="87">
        <f>SUM(BM111:BM113)+BM109</f>
        <v>9508.4</v>
      </c>
      <c r="BN114" s="557">
        <f t="shared" si="137"/>
        <v>9664.2000000000007</v>
      </c>
      <c r="BO114" s="84">
        <f t="shared" si="137"/>
        <v>10273.200000000001</v>
      </c>
      <c r="BP114" s="85">
        <f t="shared" ref="BP114:BW114" si="138">SUM(BP111:BP113)+BP109</f>
        <v>10273.200000000001</v>
      </c>
      <c r="BQ114" s="87">
        <f t="shared" si="138"/>
        <v>10641.4</v>
      </c>
      <c r="BR114" s="87">
        <f>SUM(BR111:BR113)+BR109</f>
        <v>10543.300000000001</v>
      </c>
      <c r="BS114" s="87">
        <f t="shared" si="138"/>
        <v>11322.4</v>
      </c>
      <c r="BT114" s="87">
        <f t="shared" si="138"/>
        <v>11717.6</v>
      </c>
      <c r="BU114" s="85">
        <f t="shared" si="138"/>
        <v>11717.6</v>
      </c>
      <c r="BV114" s="87">
        <f t="shared" si="138"/>
        <v>11561.6</v>
      </c>
      <c r="BW114" s="87">
        <f t="shared" si="138"/>
        <v>11473.1</v>
      </c>
      <c r="BX114" s="87">
        <f t="shared" ref="BX114:CY114" si="139">SUM(BX111:BX113)+BX109</f>
        <v>12097.999999999998</v>
      </c>
      <c r="BY114" s="87">
        <f t="shared" si="139"/>
        <v>12476</v>
      </c>
      <c r="BZ114" s="85">
        <f t="shared" si="139"/>
        <v>12476</v>
      </c>
      <c r="CA114" s="84">
        <f t="shared" ca="1" si="139"/>
        <v>12589.24309210554</v>
      </c>
      <c r="CB114" s="84">
        <f t="shared" ca="1" si="139"/>
        <v>12806.152414200724</v>
      </c>
      <c r="CC114" s="84">
        <f t="shared" ca="1" si="139"/>
        <v>13166.126112456055</v>
      </c>
      <c r="CD114" s="84">
        <f t="shared" ca="1" si="139"/>
        <v>13268.124681598325</v>
      </c>
      <c r="CE114" s="85">
        <f t="shared" ca="1" si="139"/>
        <v>13268.124681598325</v>
      </c>
      <c r="CF114" s="84">
        <f t="shared" ca="1" si="139"/>
        <v>13410.783410228527</v>
      </c>
      <c r="CG114" s="84">
        <f t="shared" ca="1" si="139"/>
        <v>13679.39041487756</v>
      </c>
      <c r="CH114" s="84">
        <f t="shared" ca="1" si="139"/>
        <v>14105.96876414309</v>
      </c>
      <c r="CI114" s="84">
        <f t="shared" ca="1" si="139"/>
        <v>14283.392307574335</v>
      </c>
      <c r="CJ114" s="85">
        <f t="shared" ca="1" si="139"/>
        <v>14283.392307574335</v>
      </c>
      <c r="CK114" s="84">
        <f t="shared" ca="1" si="139"/>
        <v>14285.044311002302</v>
      </c>
      <c r="CL114" s="84">
        <f t="shared" ca="1" si="139"/>
        <v>14413.551675737594</v>
      </c>
      <c r="CM114" s="84">
        <f t="shared" ca="1" si="139"/>
        <v>14720.660573082481</v>
      </c>
      <c r="CN114" s="84">
        <f t="shared" ca="1" si="139"/>
        <v>14779.101514816384</v>
      </c>
      <c r="CO114" s="85">
        <f t="shared" ca="1" si="139"/>
        <v>14779.101514816384</v>
      </c>
      <c r="CP114" s="84">
        <f t="shared" ca="1" si="139"/>
        <v>14713.823415989833</v>
      </c>
      <c r="CQ114" s="84">
        <f t="shared" ca="1" si="139"/>
        <v>14743.953248858314</v>
      </c>
      <c r="CR114" s="84">
        <f t="shared" ca="1" si="139"/>
        <v>14965.650571335002</v>
      </c>
      <c r="CS114" s="84">
        <f t="shared" ca="1" si="139"/>
        <v>14940.955328974767</v>
      </c>
      <c r="CT114" s="85">
        <f t="shared" ca="1" si="139"/>
        <v>14940.955328974767</v>
      </c>
      <c r="CU114" s="84">
        <f t="shared" ca="1" si="139"/>
        <v>14847.584193027888</v>
      </c>
      <c r="CV114" s="84">
        <f t="shared" ca="1" si="139"/>
        <v>14859.066117724537</v>
      </c>
      <c r="CW114" s="84">
        <f t="shared" ca="1" si="139"/>
        <v>15064.243158722278</v>
      </c>
      <c r="CX114" s="84">
        <f t="shared" ca="1" si="139"/>
        <v>15022.747936785838</v>
      </c>
      <c r="CY114" s="85">
        <f t="shared" ca="1" si="139"/>
        <v>15022.747936785838</v>
      </c>
      <c r="CZ114" s="86"/>
      <c r="DA114" s="7"/>
      <c r="DB114" s="738"/>
      <c r="DC114" s="797"/>
      <c r="DD114" s="7"/>
      <c r="DE114" s="734"/>
      <c r="DF114" s="7"/>
      <c r="DG114" s="738"/>
      <c r="DH114" s="738"/>
      <c r="DI114" s="733"/>
      <c r="DJ114" s="733"/>
      <c r="DK114" s="733"/>
      <c r="DL114" s="733"/>
      <c r="DM114" s="733"/>
      <c r="DN114" s="733"/>
      <c r="DU114" s="78"/>
      <c r="DV114" s="78"/>
      <c r="DW114" s="733"/>
      <c r="DX114" s="733"/>
      <c r="DY114" s="733"/>
      <c r="DZ114" s="733"/>
      <c r="EA114" s="733"/>
    </row>
    <row r="115" spans="1:131" x14ac:dyDescent="0.2">
      <c r="A115" s="48"/>
      <c r="B115" s="48"/>
      <c r="C115" s="48"/>
      <c r="D115" s="104"/>
      <c r="E115" s="104"/>
      <c r="F115" s="104"/>
      <c r="G115" s="104"/>
      <c r="H115" s="105"/>
      <c r="I115" s="104"/>
      <c r="J115" s="104"/>
      <c r="K115" s="104"/>
      <c r="L115" s="104"/>
      <c r="M115" s="105"/>
      <c r="N115" s="104"/>
      <c r="O115" s="104"/>
      <c r="P115" s="104"/>
      <c r="Q115" s="104"/>
      <c r="R115" s="105"/>
      <c r="S115" s="104"/>
      <c r="T115" s="104"/>
      <c r="U115" s="104"/>
      <c r="V115" s="104"/>
      <c r="W115" s="105"/>
      <c r="X115" s="104"/>
      <c r="Y115" s="104"/>
      <c r="Z115" s="104"/>
      <c r="AA115" s="108"/>
      <c r="AB115" s="105"/>
      <c r="AC115" s="104"/>
      <c r="AD115" s="104"/>
      <c r="AE115" s="104"/>
      <c r="AF115" s="108"/>
      <c r="AG115" s="105"/>
      <c r="AH115" s="108"/>
      <c r="AI115" s="108"/>
      <c r="AJ115" s="104"/>
      <c r="AK115" s="104"/>
      <c r="AL115" s="105"/>
      <c r="AM115" s="104"/>
      <c r="AN115" s="104"/>
      <c r="AO115" s="104"/>
      <c r="AP115" s="104"/>
      <c r="AQ115" s="105"/>
      <c r="AR115" s="104"/>
      <c r="AS115" s="104"/>
      <c r="AT115" s="106"/>
      <c r="AU115" s="104"/>
      <c r="AV115" s="105"/>
      <c r="AW115" s="104"/>
      <c r="AX115" s="104"/>
      <c r="AY115" s="104"/>
      <c r="AZ115" s="104"/>
      <c r="BA115" s="105"/>
      <c r="BB115" s="104"/>
      <c r="BC115" s="104"/>
      <c r="BD115" s="104"/>
      <c r="BE115" s="108"/>
      <c r="BF115" s="105"/>
      <c r="BG115" s="104"/>
      <c r="BH115" s="104"/>
      <c r="BI115" s="108"/>
      <c r="BJ115" s="108"/>
      <c r="BK115" s="105"/>
      <c r="BL115" s="104"/>
      <c r="BM115" s="108"/>
      <c r="BN115" s="555"/>
      <c r="BO115" s="104"/>
      <c r="BP115" s="105"/>
      <c r="BQ115" s="562"/>
      <c r="BR115" s="104"/>
      <c r="BS115" s="104"/>
      <c r="BT115" s="104"/>
      <c r="BU115" s="105"/>
      <c r="BV115" s="562"/>
      <c r="BW115" s="562"/>
      <c r="BX115" s="562"/>
      <c r="BY115" s="104"/>
      <c r="BZ115" s="105"/>
      <c r="CA115" s="104"/>
      <c r="CB115" s="104"/>
      <c r="CC115" s="104"/>
      <c r="CD115" s="104"/>
      <c r="CE115" s="105"/>
      <c r="CF115" s="104"/>
      <c r="CG115" s="104"/>
      <c r="CH115" s="104"/>
      <c r="CI115" s="104"/>
      <c r="CJ115" s="105"/>
      <c r="CK115" s="104"/>
      <c r="CL115" s="104"/>
      <c r="CM115" s="104"/>
      <c r="CN115" s="104"/>
      <c r="CO115" s="105"/>
      <c r="CP115" s="104"/>
      <c r="CQ115" s="104"/>
      <c r="CR115" s="104"/>
      <c r="CS115" s="104"/>
      <c r="CT115" s="105"/>
      <c r="CU115" s="104"/>
      <c r="CV115" s="104"/>
      <c r="CW115" s="104"/>
      <c r="CX115" s="104"/>
      <c r="CY115" s="105"/>
      <c r="CZ115" s="106"/>
      <c r="DB115" s="308"/>
      <c r="DC115" s="729"/>
      <c r="DG115" s="308"/>
      <c r="DH115" s="308"/>
      <c r="DI115" s="730"/>
      <c r="DJ115" s="730"/>
      <c r="DK115" s="730"/>
      <c r="DL115" s="730"/>
      <c r="DM115" s="730"/>
      <c r="DN115" s="730"/>
      <c r="DU115" s="48"/>
      <c r="DV115" s="48"/>
      <c r="DW115" s="730"/>
      <c r="DX115" s="730"/>
      <c r="DY115" s="730"/>
      <c r="DZ115" s="730"/>
      <c r="EA115" s="730"/>
    </row>
    <row r="116" spans="1:131" x14ac:dyDescent="0.2">
      <c r="A116" s="78" t="s">
        <v>130</v>
      </c>
      <c r="B116" s="78"/>
      <c r="C116" s="78"/>
      <c r="D116" s="84"/>
      <c r="E116" s="84"/>
      <c r="F116" s="84"/>
      <c r="G116" s="84"/>
      <c r="H116" s="85"/>
      <c r="I116" s="84"/>
      <c r="J116" s="84"/>
      <c r="K116" s="84"/>
      <c r="L116" s="84"/>
      <c r="M116" s="85"/>
      <c r="N116" s="84"/>
      <c r="O116" s="84"/>
      <c r="P116" s="84"/>
      <c r="Q116" s="84"/>
      <c r="R116" s="85"/>
      <c r="S116" s="84"/>
      <c r="T116" s="84"/>
      <c r="U116" s="84"/>
      <c r="V116" s="84"/>
      <c r="W116" s="85"/>
      <c r="X116" s="84"/>
      <c r="Y116" s="84"/>
      <c r="Z116" s="84"/>
      <c r="AA116" s="87"/>
      <c r="AB116" s="85"/>
      <c r="AC116" s="84"/>
      <c r="AD116" s="84"/>
      <c r="AE116" s="84"/>
      <c r="AF116" s="87"/>
      <c r="AG116" s="85"/>
      <c r="AH116" s="87"/>
      <c r="AI116" s="87"/>
      <c r="AJ116" s="84"/>
      <c r="AK116" s="84"/>
      <c r="AL116" s="85"/>
      <c r="AM116" s="84"/>
      <c r="AN116" s="84"/>
      <c r="AO116" s="84"/>
      <c r="AP116" s="84"/>
      <c r="AQ116" s="85"/>
      <c r="AR116" s="84"/>
      <c r="AS116" s="84"/>
      <c r="AT116" s="86"/>
      <c r="AU116" s="84"/>
      <c r="AV116" s="85"/>
      <c r="AW116" s="84"/>
      <c r="AX116" s="84"/>
      <c r="AY116" s="84"/>
      <c r="AZ116" s="84"/>
      <c r="BA116" s="85"/>
      <c r="BB116" s="84"/>
      <c r="BC116" s="84"/>
      <c r="BD116" s="84"/>
      <c r="BE116" s="87"/>
      <c r="BF116" s="85"/>
      <c r="BG116" s="84"/>
      <c r="BH116" s="84"/>
      <c r="BI116" s="87"/>
      <c r="BJ116" s="87"/>
      <c r="BK116" s="85"/>
      <c r="BL116" s="84"/>
      <c r="BM116" s="87"/>
      <c r="BN116" s="557"/>
      <c r="BO116" s="84"/>
      <c r="BP116" s="85"/>
      <c r="BQ116" s="87"/>
      <c r="BR116" s="84"/>
      <c r="BS116" s="84"/>
      <c r="BT116" s="84"/>
      <c r="BU116" s="85"/>
      <c r="BV116" s="84"/>
      <c r="BW116" s="84"/>
      <c r="BX116" s="84"/>
      <c r="BY116" s="84"/>
      <c r="BZ116" s="85"/>
      <c r="CA116" s="84"/>
      <c r="CB116" s="84"/>
      <c r="CC116" s="84"/>
      <c r="CD116" s="84"/>
      <c r="CE116" s="85"/>
      <c r="CF116" s="84"/>
      <c r="CG116" s="84"/>
      <c r="CH116" s="84"/>
      <c r="CI116" s="84"/>
      <c r="CJ116" s="85"/>
      <c r="CK116" s="84"/>
      <c r="CL116" s="84"/>
      <c r="CM116" s="84"/>
      <c r="CN116" s="84"/>
      <c r="CO116" s="85"/>
      <c r="CP116" s="84"/>
      <c r="CQ116" s="84"/>
      <c r="CR116" s="84"/>
      <c r="CS116" s="84"/>
      <c r="CT116" s="85"/>
      <c r="CU116" s="84"/>
      <c r="CV116" s="84"/>
      <c r="CW116" s="84"/>
      <c r="CX116" s="84"/>
      <c r="CY116" s="85"/>
      <c r="CZ116" s="86"/>
      <c r="DA116" s="7"/>
      <c r="DB116" s="738"/>
      <c r="DC116" s="797"/>
      <c r="DD116" s="7"/>
      <c r="DE116" s="734"/>
      <c r="DF116" s="7"/>
      <c r="DG116" s="738"/>
      <c r="DH116" s="738"/>
      <c r="DI116" s="733"/>
      <c r="DJ116" s="733"/>
      <c r="DK116" s="733"/>
      <c r="DL116" s="733"/>
      <c r="DM116" s="733"/>
      <c r="DN116" s="733"/>
      <c r="DU116" s="78"/>
      <c r="DV116" s="78"/>
      <c r="DW116" s="733"/>
      <c r="DX116" s="733"/>
      <c r="DY116" s="733"/>
      <c r="DZ116" s="733"/>
      <c r="EA116" s="733"/>
    </row>
    <row r="117" spans="1:131" x14ac:dyDescent="0.2">
      <c r="A117" s="48" t="s">
        <v>131</v>
      </c>
      <c r="B117" s="48"/>
      <c r="C117" s="48"/>
      <c r="D117" s="108">
        <f>0.854+0.146</f>
        <v>1</v>
      </c>
      <c r="E117" s="108">
        <f>0.956+0.146</f>
        <v>1.1019999999999999</v>
      </c>
      <c r="F117" s="108">
        <v>1.109</v>
      </c>
      <c r="G117" s="108">
        <v>1.117</v>
      </c>
      <c r="H117" s="105">
        <f t="shared" ref="H117:H122" si="140">+G117</f>
        <v>1.117</v>
      </c>
      <c r="I117" s="108">
        <v>1.1219999999999999</v>
      </c>
      <c r="J117" s="108">
        <v>1.129</v>
      </c>
      <c r="K117" s="108">
        <v>1.133</v>
      </c>
      <c r="L117" s="108">
        <v>2.2880000000000003</v>
      </c>
      <c r="M117" s="105">
        <f t="shared" ref="M117:M122" si="141">+L117</f>
        <v>2.2880000000000003</v>
      </c>
      <c r="N117" s="108">
        <v>2.2970000000000002</v>
      </c>
      <c r="O117" s="108">
        <v>2.306</v>
      </c>
      <c r="P117" s="108">
        <f>2.02+0.289</f>
        <v>2.3090000000000002</v>
      </c>
      <c r="Q117" s="108">
        <v>2.3260000000000001</v>
      </c>
      <c r="R117" s="105">
        <f t="shared" ref="R117:R122" si="142">+Q117</f>
        <v>2.3260000000000001</v>
      </c>
      <c r="S117" s="108">
        <v>2.2999999999999998</v>
      </c>
      <c r="T117" s="108">
        <v>2.4</v>
      </c>
      <c r="U117" s="108">
        <v>2.5</v>
      </c>
      <c r="V117" s="108">
        <v>2.5</v>
      </c>
      <c r="W117" s="105">
        <f t="shared" ref="W117:W122" si="143">+V117</f>
        <v>2.5</v>
      </c>
      <c r="X117" s="108">
        <v>2.5</v>
      </c>
      <c r="Y117" s="108">
        <v>2.5</v>
      </c>
      <c r="Z117" s="108">
        <v>2.5</v>
      </c>
      <c r="AA117" s="108">
        <f t="shared" ref="AA117:AA122" si="144">+AB117</f>
        <v>2.5</v>
      </c>
      <c r="AB117" s="105">
        <f>2.2+0.3</f>
        <v>2.5</v>
      </c>
      <c r="AC117" s="108">
        <v>2.5</v>
      </c>
      <c r="AD117" s="108">
        <v>2.5</v>
      </c>
      <c r="AE117" s="108">
        <v>2.5</v>
      </c>
      <c r="AF117" s="108">
        <f t="shared" ref="AF117:AF122" si="145">+AG117</f>
        <v>2.5</v>
      </c>
      <c r="AG117" s="105">
        <f>2.2+0.3</f>
        <v>2.5</v>
      </c>
      <c r="AH117" s="108">
        <f>2.2+0.3</f>
        <v>2.5</v>
      </c>
      <c r="AI117" s="108">
        <f>2.2+0.3</f>
        <v>2.5</v>
      </c>
      <c r="AJ117" s="108">
        <v>2.5</v>
      </c>
      <c r="AK117" s="104">
        <v>2.6</v>
      </c>
      <c r="AL117" s="105">
        <f>AK117</f>
        <v>2.6</v>
      </c>
      <c r="AM117" s="104">
        <v>2.6</v>
      </c>
      <c r="AN117" s="104">
        <f>AM117</f>
        <v>2.6</v>
      </c>
      <c r="AO117" s="108">
        <f>2.3+0.3</f>
        <v>2.5999999999999996</v>
      </c>
      <c r="AP117" s="108">
        <f>2.3+0.3</f>
        <v>2.5999999999999996</v>
      </c>
      <c r="AQ117" s="105">
        <f>AP117</f>
        <v>2.5999999999999996</v>
      </c>
      <c r="AR117" s="108">
        <f>2.3+0.3</f>
        <v>2.5999999999999996</v>
      </c>
      <c r="AS117" s="108">
        <f>2.3+0.3</f>
        <v>2.5999999999999996</v>
      </c>
      <c r="AT117" s="135">
        <f>2.3+0.3</f>
        <v>2.5999999999999996</v>
      </c>
      <c r="AU117" s="135">
        <f>2.3+0.3</f>
        <v>2.5999999999999996</v>
      </c>
      <c r="AV117" s="105">
        <f>AU117</f>
        <v>2.5999999999999996</v>
      </c>
      <c r="AW117" s="108">
        <f>2.3+0.3</f>
        <v>2.5999999999999996</v>
      </c>
      <c r="AX117" s="108">
        <f>2.4+0.3</f>
        <v>2.6999999999999997</v>
      </c>
      <c r="AY117" s="108">
        <f>2.4+0.3</f>
        <v>2.6999999999999997</v>
      </c>
      <c r="AZ117" s="108">
        <f>2.4+0.3</f>
        <v>2.6999999999999997</v>
      </c>
      <c r="BA117" s="105">
        <f>AZ117</f>
        <v>2.6999999999999997</v>
      </c>
      <c r="BB117" s="108">
        <f>2.5+0.3</f>
        <v>2.8</v>
      </c>
      <c r="BC117" s="108">
        <f>2.5+0.3</f>
        <v>2.8</v>
      </c>
      <c r="BD117" s="108">
        <f>2.5+0.3</f>
        <v>2.8</v>
      </c>
      <c r="BE117" s="108">
        <f>2.5+0.3</f>
        <v>2.8</v>
      </c>
      <c r="BF117" s="105">
        <f>BE117</f>
        <v>2.8</v>
      </c>
      <c r="BG117" s="108">
        <v>2.8</v>
      </c>
      <c r="BH117" s="108">
        <f>2.5+0.3</f>
        <v>2.8</v>
      </c>
      <c r="BI117" s="108">
        <f>2.5+0.3</f>
        <v>2.8</v>
      </c>
      <c r="BJ117" s="108">
        <f>2.5+0.3</f>
        <v>2.8</v>
      </c>
      <c r="BK117" s="105">
        <f>BJ117</f>
        <v>2.8</v>
      </c>
      <c r="BL117" s="108">
        <f>2.5+0.3</f>
        <v>2.8</v>
      </c>
      <c r="BM117" s="108">
        <f t="shared" ref="BM117:BP119" si="146">BL117</f>
        <v>2.8</v>
      </c>
      <c r="BN117" s="555">
        <f>2.6+0.3</f>
        <v>2.9</v>
      </c>
      <c r="BO117" s="562">
        <f t="shared" si="146"/>
        <v>2.9</v>
      </c>
      <c r="BP117" s="105">
        <f t="shared" si="146"/>
        <v>2.9</v>
      </c>
      <c r="BQ117" s="562">
        <v>2.9</v>
      </c>
      <c r="BR117" s="136">
        <f t="shared" ref="BR117:BU119" si="147">BQ117</f>
        <v>2.9</v>
      </c>
      <c r="BS117" s="136">
        <f t="shared" si="147"/>
        <v>2.9</v>
      </c>
      <c r="BT117" s="136">
        <f t="shared" si="147"/>
        <v>2.9</v>
      </c>
      <c r="BU117" s="105">
        <f t="shared" si="147"/>
        <v>2.9</v>
      </c>
      <c r="BV117" s="136">
        <f>BT117</f>
        <v>2.9</v>
      </c>
      <c r="BW117" s="136">
        <f t="shared" ref="BW117:BZ118" si="148">BV117</f>
        <v>2.9</v>
      </c>
      <c r="BX117" s="136">
        <f t="shared" si="148"/>
        <v>2.9</v>
      </c>
      <c r="BY117" s="136">
        <f t="shared" si="148"/>
        <v>2.9</v>
      </c>
      <c r="BZ117" s="105">
        <f t="shared" si="148"/>
        <v>2.9</v>
      </c>
      <c r="CA117" s="136">
        <f>BY117</f>
        <v>2.9</v>
      </c>
      <c r="CB117" s="136">
        <f t="shared" ref="CB117:CE119" si="149">CA117</f>
        <v>2.9</v>
      </c>
      <c r="CC117" s="136">
        <f t="shared" si="149"/>
        <v>2.9</v>
      </c>
      <c r="CD117" s="136">
        <f t="shared" si="149"/>
        <v>2.9</v>
      </c>
      <c r="CE117" s="105">
        <f t="shared" si="149"/>
        <v>2.9</v>
      </c>
      <c r="CF117" s="136">
        <f>CD117</f>
        <v>2.9</v>
      </c>
      <c r="CG117" s="136">
        <f t="shared" ref="CG117:CJ119" si="150">CF117</f>
        <v>2.9</v>
      </c>
      <c r="CH117" s="136">
        <f t="shared" si="150"/>
        <v>2.9</v>
      </c>
      <c r="CI117" s="136">
        <f t="shared" si="150"/>
        <v>2.9</v>
      </c>
      <c r="CJ117" s="105">
        <f t="shared" si="150"/>
        <v>2.9</v>
      </c>
      <c r="CK117" s="136">
        <f>CI117</f>
        <v>2.9</v>
      </c>
      <c r="CL117" s="136">
        <f t="shared" ref="CL117:CO119" si="151">CK117</f>
        <v>2.9</v>
      </c>
      <c r="CM117" s="136">
        <f t="shared" si="151"/>
        <v>2.9</v>
      </c>
      <c r="CN117" s="136">
        <f t="shared" si="151"/>
        <v>2.9</v>
      </c>
      <c r="CO117" s="105">
        <f t="shared" si="151"/>
        <v>2.9</v>
      </c>
      <c r="CP117" s="136">
        <f>CN117</f>
        <v>2.9</v>
      </c>
      <c r="CQ117" s="136">
        <f t="shared" ref="CQ117:CT119" si="152">CP117</f>
        <v>2.9</v>
      </c>
      <c r="CR117" s="136">
        <f t="shared" si="152"/>
        <v>2.9</v>
      </c>
      <c r="CS117" s="136">
        <f t="shared" si="152"/>
        <v>2.9</v>
      </c>
      <c r="CT117" s="105">
        <f t="shared" si="152"/>
        <v>2.9</v>
      </c>
      <c r="CU117" s="136">
        <f>CS117</f>
        <v>2.9</v>
      </c>
      <c r="CV117" s="136">
        <f t="shared" ref="CV117:CY119" si="153">CU117</f>
        <v>2.9</v>
      </c>
      <c r="CW117" s="136">
        <f t="shared" si="153"/>
        <v>2.9</v>
      </c>
      <c r="CX117" s="136">
        <f t="shared" si="153"/>
        <v>2.9</v>
      </c>
      <c r="CY117" s="105">
        <f t="shared" si="153"/>
        <v>2.9</v>
      </c>
      <c r="CZ117" s="106"/>
      <c r="DB117" s="308"/>
      <c r="DC117" s="825"/>
      <c r="DG117" s="308"/>
      <c r="DH117" s="308"/>
      <c r="DI117" s="730"/>
      <c r="DJ117" s="730"/>
      <c r="DK117" s="730"/>
      <c r="DL117" s="730"/>
      <c r="DM117" s="730"/>
      <c r="DN117" s="730"/>
      <c r="DU117" s="48"/>
      <c r="DV117" s="48"/>
      <c r="DW117" s="730"/>
      <c r="DX117" s="730"/>
      <c r="DY117" s="730"/>
      <c r="DZ117" s="730"/>
      <c r="EA117" s="730"/>
    </row>
    <row r="118" spans="1:131" x14ac:dyDescent="0.2">
      <c r="A118" s="48" t="s">
        <v>132</v>
      </c>
      <c r="B118" s="48"/>
      <c r="C118" s="48"/>
      <c r="D118" s="108">
        <v>0</v>
      </c>
      <c r="E118" s="108">
        <v>2E-3</v>
      </c>
      <c r="F118" s="108">
        <v>2E-3</v>
      </c>
      <c r="G118" s="108">
        <v>2E-3</v>
      </c>
      <c r="H118" s="105">
        <f t="shared" si="140"/>
        <v>2E-3</v>
      </c>
      <c r="I118" s="108">
        <v>2E-3</v>
      </c>
      <c r="J118" s="108">
        <v>2E-3</v>
      </c>
      <c r="K118" s="108">
        <v>2E-3</v>
      </c>
      <c r="L118" s="108">
        <v>2E-3</v>
      </c>
      <c r="M118" s="105">
        <f t="shared" si="141"/>
        <v>2E-3</v>
      </c>
      <c r="N118" s="108">
        <v>2E-3</v>
      </c>
      <c r="O118" s="108">
        <v>2E-3</v>
      </c>
      <c r="P118" s="108">
        <v>2E-3</v>
      </c>
      <c r="Q118" s="108">
        <v>0</v>
      </c>
      <c r="R118" s="105">
        <f t="shared" si="142"/>
        <v>0</v>
      </c>
      <c r="S118" s="108">
        <v>0</v>
      </c>
      <c r="T118" s="108">
        <v>0</v>
      </c>
      <c r="U118" s="108">
        <v>0</v>
      </c>
      <c r="V118" s="108">
        <v>0</v>
      </c>
      <c r="W118" s="105">
        <f t="shared" si="143"/>
        <v>0</v>
      </c>
      <c r="X118" s="108">
        <v>0</v>
      </c>
      <c r="Y118" s="108">
        <v>0</v>
      </c>
      <c r="Z118" s="108">
        <v>0</v>
      </c>
      <c r="AA118" s="108">
        <f t="shared" si="144"/>
        <v>0</v>
      </c>
      <c r="AB118" s="105">
        <v>0</v>
      </c>
      <c r="AC118" s="108">
        <v>0</v>
      </c>
      <c r="AD118" s="108">
        <v>0</v>
      </c>
      <c r="AE118" s="108">
        <v>0</v>
      </c>
      <c r="AF118" s="108">
        <f t="shared" si="145"/>
        <v>0</v>
      </c>
      <c r="AG118" s="105">
        <v>0</v>
      </c>
      <c r="AH118" s="108">
        <v>0</v>
      </c>
      <c r="AI118" s="108">
        <v>0</v>
      </c>
      <c r="AJ118" s="108">
        <v>0</v>
      </c>
      <c r="AK118" s="104">
        <v>0</v>
      </c>
      <c r="AL118" s="105">
        <f>AK118</f>
        <v>0</v>
      </c>
      <c r="AM118" s="104">
        <v>0</v>
      </c>
      <c r="AN118" s="104">
        <f>AM118</f>
        <v>0</v>
      </c>
      <c r="AO118" s="108">
        <f>AN118</f>
        <v>0</v>
      </c>
      <c r="AP118" s="108">
        <v>0</v>
      </c>
      <c r="AQ118" s="105">
        <f>AP118</f>
        <v>0</v>
      </c>
      <c r="AR118" s="108">
        <v>0</v>
      </c>
      <c r="AS118" s="108">
        <v>0</v>
      </c>
      <c r="AT118" s="135">
        <v>0</v>
      </c>
      <c r="AU118" s="135">
        <v>0</v>
      </c>
      <c r="AV118" s="105">
        <f>AU118</f>
        <v>0</v>
      </c>
      <c r="AW118" s="108">
        <v>0</v>
      </c>
      <c r="AX118" s="108">
        <v>0</v>
      </c>
      <c r="AY118" s="108">
        <v>0</v>
      </c>
      <c r="AZ118" s="108">
        <f>AY118</f>
        <v>0</v>
      </c>
      <c r="BA118" s="105">
        <f>AZ118</f>
        <v>0</v>
      </c>
      <c r="BB118" s="108">
        <v>0</v>
      </c>
      <c r="BC118" s="108">
        <v>0</v>
      </c>
      <c r="BD118" s="108">
        <v>0</v>
      </c>
      <c r="BE118" s="108">
        <v>0</v>
      </c>
      <c r="BF118" s="105">
        <f>BE118</f>
        <v>0</v>
      </c>
      <c r="BG118" s="108">
        <v>0</v>
      </c>
      <c r="BH118" s="108">
        <v>0</v>
      </c>
      <c r="BI118" s="108">
        <v>0</v>
      </c>
      <c r="BJ118" s="108">
        <v>0</v>
      </c>
      <c r="BK118" s="105">
        <f>BJ118</f>
        <v>0</v>
      </c>
      <c r="BL118" s="108">
        <v>0</v>
      </c>
      <c r="BM118" s="108">
        <f t="shared" si="146"/>
        <v>0</v>
      </c>
      <c r="BN118" s="555">
        <v>0</v>
      </c>
      <c r="BO118" s="562">
        <f t="shared" si="146"/>
        <v>0</v>
      </c>
      <c r="BP118" s="105">
        <f t="shared" si="146"/>
        <v>0</v>
      </c>
      <c r="BQ118" s="562">
        <v>0</v>
      </c>
      <c r="BR118" s="136">
        <f t="shared" si="147"/>
        <v>0</v>
      </c>
      <c r="BS118" s="136">
        <f t="shared" si="147"/>
        <v>0</v>
      </c>
      <c r="BT118" s="136">
        <f t="shared" si="147"/>
        <v>0</v>
      </c>
      <c r="BU118" s="105">
        <f t="shared" si="147"/>
        <v>0</v>
      </c>
      <c r="BV118" s="136">
        <f>BT118</f>
        <v>0</v>
      </c>
      <c r="BW118" s="136">
        <f t="shared" si="148"/>
        <v>0</v>
      </c>
      <c r="BX118" s="136">
        <f t="shared" si="148"/>
        <v>0</v>
      </c>
      <c r="BY118" s="136">
        <f t="shared" si="148"/>
        <v>0</v>
      </c>
      <c r="BZ118" s="105">
        <f t="shared" si="148"/>
        <v>0</v>
      </c>
      <c r="CA118" s="136">
        <f>BY118</f>
        <v>0</v>
      </c>
      <c r="CB118" s="136">
        <f t="shared" si="149"/>
        <v>0</v>
      </c>
      <c r="CC118" s="136">
        <f t="shared" si="149"/>
        <v>0</v>
      </c>
      <c r="CD118" s="136">
        <f t="shared" si="149"/>
        <v>0</v>
      </c>
      <c r="CE118" s="105">
        <f t="shared" si="149"/>
        <v>0</v>
      </c>
      <c r="CF118" s="136">
        <f>CD118</f>
        <v>0</v>
      </c>
      <c r="CG118" s="136">
        <f t="shared" si="150"/>
        <v>0</v>
      </c>
      <c r="CH118" s="136">
        <f t="shared" si="150"/>
        <v>0</v>
      </c>
      <c r="CI118" s="136">
        <f t="shared" si="150"/>
        <v>0</v>
      </c>
      <c r="CJ118" s="105">
        <f t="shared" si="150"/>
        <v>0</v>
      </c>
      <c r="CK118" s="136">
        <f>CI118</f>
        <v>0</v>
      </c>
      <c r="CL118" s="136">
        <f t="shared" si="151"/>
        <v>0</v>
      </c>
      <c r="CM118" s="136">
        <f t="shared" si="151"/>
        <v>0</v>
      </c>
      <c r="CN118" s="136">
        <f t="shared" si="151"/>
        <v>0</v>
      </c>
      <c r="CO118" s="105">
        <f t="shared" si="151"/>
        <v>0</v>
      </c>
      <c r="CP118" s="136">
        <f>CN118</f>
        <v>0</v>
      </c>
      <c r="CQ118" s="136">
        <f t="shared" si="152"/>
        <v>0</v>
      </c>
      <c r="CR118" s="136">
        <f t="shared" si="152"/>
        <v>0</v>
      </c>
      <c r="CS118" s="136">
        <f t="shared" si="152"/>
        <v>0</v>
      </c>
      <c r="CT118" s="105">
        <f t="shared" si="152"/>
        <v>0</v>
      </c>
      <c r="CU118" s="136">
        <f>CS118</f>
        <v>0</v>
      </c>
      <c r="CV118" s="136">
        <f t="shared" si="153"/>
        <v>0</v>
      </c>
      <c r="CW118" s="136">
        <f t="shared" si="153"/>
        <v>0</v>
      </c>
      <c r="CX118" s="136">
        <f t="shared" si="153"/>
        <v>0</v>
      </c>
      <c r="CY118" s="105">
        <f t="shared" si="153"/>
        <v>0</v>
      </c>
      <c r="CZ118" s="106"/>
      <c r="DB118" s="308"/>
      <c r="DC118" s="825"/>
      <c r="DG118" s="308"/>
      <c r="DH118" s="308"/>
      <c r="DI118" s="730"/>
      <c r="DJ118" s="730"/>
      <c r="DK118" s="730"/>
      <c r="DL118" s="730"/>
      <c r="DM118" s="730"/>
      <c r="DN118" s="730"/>
      <c r="DU118" s="48"/>
      <c r="DV118" s="48"/>
      <c r="DW118" s="730"/>
      <c r="DX118" s="730"/>
      <c r="DY118" s="730"/>
      <c r="DZ118" s="730"/>
      <c r="EA118" s="730"/>
    </row>
    <row r="119" spans="1:131" x14ac:dyDescent="0.2">
      <c r="A119" s="48" t="s">
        <v>133</v>
      </c>
      <c r="B119" s="48"/>
      <c r="C119" s="48"/>
      <c r="D119" s="108">
        <v>556.71199999999999</v>
      </c>
      <c r="E119" s="108">
        <v>989.32500000000005</v>
      </c>
      <c r="F119" s="108">
        <v>998.21400000000006</v>
      </c>
      <c r="G119" s="108">
        <v>1024.048</v>
      </c>
      <c r="H119" s="105">
        <f t="shared" si="140"/>
        <v>1024.048</v>
      </c>
      <c r="I119" s="108">
        <v>1030.1210000000001</v>
      </c>
      <c r="J119" s="108">
        <v>1043.4670000000001</v>
      </c>
      <c r="K119" s="108">
        <v>1051.0219999999999</v>
      </c>
      <c r="L119" s="108">
        <v>1097.1769999999999</v>
      </c>
      <c r="M119" s="105">
        <f t="shared" si="141"/>
        <v>1097.1769999999999</v>
      </c>
      <c r="N119" s="108">
        <v>1110.328</v>
      </c>
      <c r="O119" s="108">
        <v>1125.2190000000001</v>
      </c>
      <c r="P119" s="108">
        <v>1129.971</v>
      </c>
      <c r="Q119" s="108">
        <v>1159.421</v>
      </c>
      <c r="R119" s="105">
        <f t="shared" si="142"/>
        <v>1159.421</v>
      </c>
      <c r="S119" s="108">
        <v>1174.9000000000001</v>
      </c>
      <c r="T119" s="108">
        <v>1215.9000000000001</v>
      </c>
      <c r="U119" s="108">
        <v>1242.0999999999999</v>
      </c>
      <c r="V119" s="108">
        <v>1271.0999999999999</v>
      </c>
      <c r="W119" s="105">
        <f t="shared" si="143"/>
        <v>1271.0999999999999</v>
      </c>
      <c r="X119" s="108">
        <v>1292.4000000000001</v>
      </c>
      <c r="Y119" s="108">
        <v>1310.3</v>
      </c>
      <c r="Z119" s="108">
        <v>1327.5</v>
      </c>
      <c r="AA119" s="108">
        <f t="shared" si="144"/>
        <v>1344</v>
      </c>
      <c r="AB119" s="105">
        <v>1344</v>
      </c>
      <c r="AC119" s="108">
        <v>1369.9</v>
      </c>
      <c r="AD119" s="108">
        <v>1392</v>
      </c>
      <c r="AE119" s="108">
        <v>1410.7</v>
      </c>
      <c r="AF119" s="108">
        <f t="shared" si="145"/>
        <v>1426.3</v>
      </c>
      <c r="AG119" s="105">
        <v>1426.3</v>
      </c>
      <c r="AH119" s="108">
        <v>1436.7</v>
      </c>
      <c r="AI119" s="108">
        <v>1458.4</v>
      </c>
      <c r="AJ119" s="108">
        <v>1473.5</v>
      </c>
      <c r="AK119" s="104">
        <v>1493.2</v>
      </c>
      <c r="AL119" s="105">
        <f>AK119</f>
        <v>1493.2</v>
      </c>
      <c r="AM119" s="104">
        <v>1521.2</v>
      </c>
      <c r="AN119" s="104">
        <v>1538.4</v>
      </c>
      <c r="AO119" s="108">
        <v>1572.9</v>
      </c>
      <c r="AP119" s="108">
        <v>1602.4</v>
      </c>
      <c r="AQ119" s="105">
        <f>AP119</f>
        <v>1602.4</v>
      </c>
      <c r="AR119" s="108">
        <v>1643.2</v>
      </c>
      <c r="AS119" s="108">
        <v>1655</v>
      </c>
      <c r="AT119" s="135">
        <v>1672.6</v>
      </c>
      <c r="AU119" s="135">
        <v>1691.4</v>
      </c>
      <c r="AV119" s="105">
        <f>AU119</f>
        <v>1691.4</v>
      </c>
      <c r="AW119" s="108">
        <v>1716.7</v>
      </c>
      <c r="AX119" s="108">
        <v>1832.6</v>
      </c>
      <c r="AY119" s="108">
        <v>1872.9</v>
      </c>
      <c r="AZ119" s="108">
        <v>1907.1</v>
      </c>
      <c r="BA119" s="105">
        <f>AZ119</f>
        <v>1907.1</v>
      </c>
      <c r="BB119" s="108">
        <v>2004.3</v>
      </c>
      <c r="BC119" s="108">
        <v>2037</v>
      </c>
      <c r="BD119" s="108">
        <v>2076.1</v>
      </c>
      <c r="BE119" s="108">
        <v>2116.6</v>
      </c>
      <c r="BF119" s="105">
        <f>BE119</f>
        <v>2116.6</v>
      </c>
      <c r="BG119" s="108">
        <v>2157.5</v>
      </c>
      <c r="BH119" s="108">
        <v>2189.1</v>
      </c>
      <c r="BI119" s="108">
        <v>2227.9</v>
      </c>
      <c r="BJ119" s="108">
        <v>2269.8000000000002</v>
      </c>
      <c r="BK119" s="105">
        <f>BJ119</f>
        <v>2269.8000000000002</v>
      </c>
      <c r="BL119" s="108">
        <v>2307.3000000000002</v>
      </c>
      <c r="BM119" s="108">
        <f>BL119+BM135+BM158</f>
        <v>2329.8000000000002</v>
      </c>
      <c r="BN119" s="555">
        <v>2563.6999999999998</v>
      </c>
      <c r="BO119" s="562">
        <f>BN119+BO135+BO158</f>
        <v>2595.7999999999997</v>
      </c>
      <c r="BP119" s="105">
        <f t="shared" si="146"/>
        <v>2595.7999999999997</v>
      </c>
      <c r="BQ119" s="562">
        <v>2633.8</v>
      </c>
      <c r="BR119" s="136">
        <f>7174.1-BR117-BR118-BR120-BR121-BR122</f>
        <v>2526.5814249200016</v>
      </c>
      <c r="BS119" s="136">
        <f>6997.7-BS118-BS117-BS120-BS121-BS122</f>
        <v>2383.4693406200013</v>
      </c>
      <c r="BT119" s="136">
        <f>6884.8-BT118-BT117-BT120-BT121-BT122</f>
        <v>2878.1206577400026</v>
      </c>
      <c r="BU119" s="105">
        <f t="shared" si="147"/>
        <v>2878.1206577400026</v>
      </c>
      <c r="BV119" s="136">
        <f>7397.8-BV118-BV117-BV120-BV121-BV122</f>
        <v>2977.2077753800022</v>
      </c>
      <c r="BW119" s="136">
        <f>7945.3-BW118-BW117-BW120-BW121-BW122</f>
        <v>3123.9984630722461</v>
      </c>
      <c r="BX119" s="136">
        <f>8009.1-BX118-BX117-BX120-BX121-BX122</f>
        <v>3156.4824410122465</v>
      </c>
      <c r="BY119" s="136">
        <f>8062.7-BY118-BY117-BY120-BY121-BY122</f>
        <v>3692.2084410122466</v>
      </c>
      <c r="BZ119" s="105">
        <f>BY119</f>
        <v>3692.2084410122466</v>
      </c>
      <c r="CA119" s="136">
        <f>BZ119+CA135+CA158</f>
        <v>3708.8184410122467</v>
      </c>
      <c r="CB119" s="136">
        <f>CA119+CB135+CB158</f>
        <v>3723.9984410122465</v>
      </c>
      <c r="CC119" s="136">
        <f>CB119+CC135+CC158</f>
        <v>3742.2584410122467</v>
      </c>
      <c r="CD119" s="136">
        <f>CC119+CD135+CD158</f>
        <v>3759.1984410122468</v>
      </c>
      <c r="CE119" s="105">
        <f t="shared" si="149"/>
        <v>3759.1984410122468</v>
      </c>
      <c r="CF119" s="136">
        <f>CE119+CF135+CF158</f>
        <v>3777.054191012247</v>
      </c>
      <c r="CG119" s="136">
        <f>CF119+CG135+CG158</f>
        <v>3793.3726910122468</v>
      </c>
      <c r="CH119" s="136">
        <f>CG119+CH135+CH158</f>
        <v>3813.0021910122468</v>
      </c>
      <c r="CI119" s="136">
        <f>CH119+CI135+CI158</f>
        <v>3831.212691012247</v>
      </c>
      <c r="CJ119" s="105">
        <f t="shared" si="150"/>
        <v>3831.212691012247</v>
      </c>
      <c r="CK119" s="136">
        <f>CJ119+CK135+CK158</f>
        <v>3849.9612285122471</v>
      </c>
      <c r="CL119" s="136">
        <f>CK119+CL135+CL158</f>
        <v>3867.0956535122473</v>
      </c>
      <c r="CM119" s="136">
        <f>CL119+CM135+CM158</f>
        <v>3887.7066285122473</v>
      </c>
      <c r="CN119" s="136">
        <f>CM119+CN135+CN158</f>
        <v>3906.8276535122473</v>
      </c>
      <c r="CO119" s="105">
        <f t="shared" si="151"/>
        <v>3906.8276535122473</v>
      </c>
      <c r="CP119" s="136">
        <f>CO119+CP135+CP158</f>
        <v>3926.5136178872472</v>
      </c>
      <c r="CQ119" s="136">
        <f>CP119+CQ135+CQ158</f>
        <v>3944.5047641372471</v>
      </c>
      <c r="CR119" s="136">
        <f>CQ119+CR135+CR158</f>
        <v>3966.1462878872471</v>
      </c>
      <c r="CS119" s="136">
        <f>CR119+CS135+CS158</f>
        <v>3986.2233641372472</v>
      </c>
      <c r="CT119" s="105">
        <f t="shared" si="152"/>
        <v>3986.2233641372472</v>
      </c>
      <c r="CU119" s="136">
        <f>CT119+CU135+CU158</f>
        <v>4006.8936267309973</v>
      </c>
      <c r="CV119" s="136">
        <f>CU119+CV135+CV158</f>
        <v>4025.7843302934975</v>
      </c>
      <c r="CW119" s="136">
        <f>CV119+CW135+CW158</f>
        <v>4048.5079302309973</v>
      </c>
      <c r="CX119" s="136">
        <f>CW119+CX135+CX158</f>
        <v>4069.5888602934974</v>
      </c>
      <c r="CY119" s="105">
        <f t="shared" si="153"/>
        <v>4069.5888602934974</v>
      </c>
      <c r="CZ119" s="106"/>
      <c r="DB119" s="308"/>
      <c r="DC119" s="825"/>
      <c r="DG119" s="308"/>
      <c r="DH119" s="308"/>
      <c r="DI119" s="730"/>
      <c r="DJ119" s="730"/>
      <c r="DK119" s="730"/>
      <c r="DL119" s="730"/>
      <c r="DM119" s="730"/>
      <c r="DN119" s="730"/>
      <c r="DU119" s="48"/>
      <c r="DV119" s="48"/>
      <c r="DW119" s="730"/>
      <c r="DX119" s="730"/>
      <c r="DY119" s="730"/>
      <c r="DZ119" s="730"/>
      <c r="EA119" s="730"/>
    </row>
    <row r="120" spans="1:131" x14ac:dyDescent="0.2">
      <c r="A120" s="48" t="s">
        <v>134</v>
      </c>
      <c r="B120" s="48"/>
      <c r="C120" s="48"/>
      <c r="D120" s="108">
        <v>834.71400000000006</v>
      </c>
      <c r="E120" s="108">
        <v>869.43399999999997</v>
      </c>
      <c r="F120" s="108">
        <v>949.82399999999996</v>
      </c>
      <c r="G120" s="108">
        <v>1010.193</v>
      </c>
      <c r="H120" s="105">
        <f t="shared" si="140"/>
        <v>1010.193</v>
      </c>
      <c r="I120" s="108">
        <v>1059.0709999999999</v>
      </c>
      <c r="J120" s="108">
        <v>1137.2339999999999</v>
      </c>
      <c r="K120" s="108">
        <v>1231.6759999999999</v>
      </c>
      <c r="L120" s="108">
        <v>1276.8530000000001</v>
      </c>
      <c r="M120" s="105">
        <f t="shared" si="141"/>
        <v>1276.8530000000001</v>
      </c>
      <c r="N120" s="108">
        <v>1350.1010000000001</v>
      </c>
      <c r="O120" s="104">
        <v>1430.07</v>
      </c>
      <c r="P120" s="108">
        <f>1536.58</f>
        <v>1536.58</v>
      </c>
      <c r="Q120" s="108">
        <f>1592.311</f>
        <v>1592.3109999999999</v>
      </c>
      <c r="R120" s="105">
        <f t="shared" si="142"/>
        <v>1592.3109999999999</v>
      </c>
      <c r="S120" s="108">
        <f>1675.3</f>
        <v>1675.3</v>
      </c>
      <c r="T120" s="108">
        <f>1741.3</f>
        <v>1741.3</v>
      </c>
      <c r="U120" s="108">
        <f>1849.1</f>
        <v>1849.1</v>
      </c>
      <c r="V120" s="108">
        <f>1919.3</f>
        <v>1919.3</v>
      </c>
      <c r="W120" s="105">
        <f t="shared" si="143"/>
        <v>1919.3</v>
      </c>
      <c r="X120" s="108">
        <f>1949.1</f>
        <v>1949.1</v>
      </c>
      <c r="Y120" s="108">
        <f>2021.2</f>
        <v>2021.2</v>
      </c>
      <c r="Z120" s="108">
        <f>2140.8</f>
        <v>2140.8000000000002</v>
      </c>
      <c r="AA120" s="108">
        <f t="shared" si="144"/>
        <v>1306</v>
      </c>
      <c r="AB120" s="105">
        <v>1306</v>
      </c>
      <c r="AC120" s="108">
        <f>1349.5</f>
        <v>1349.5</v>
      </c>
      <c r="AD120" s="108">
        <f>1326.8</f>
        <v>1326.8</v>
      </c>
      <c r="AE120" s="108">
        <v>1410.3</v>
      </c>
      <c r="AF120" s="108">
        <f t="shared" si="145"/>
        <v>1003.5</v>
      </c>
      <c r="AG120" s="105">
        <v>1003.5</v>
      </c>
      <c r="AH120" s="108">
        <v>1010</v>
      </c>
      <c r="AI120" s="108">
        <v>1109.7</v>
      </c>
      <c r="AJ120" s="108">
        <v>1153.8</v>
      </c>
      <c r="AK120" s="104">
        <f>2576.3-AK117-AK118-AK119-AK122-AK121</f>
        <v>1102.8000000000002</v>
      </c>
      <c r="AL120" s="105">
        <f>+AK120</f>
        <v>1102.8000000000002</v>
      </c>
      <c r="AM120" s="104">
        <v>1151.9000000000001</v>
      </c>
      <c r="AN120" s="104">
        <v>1243.2</v>
      </c>
      <c r="AO120" s="104">
        <v>1382.5</v>
      </c>
      <c r="AP120" s="104">
        <v>1662.3</v>
      </c>
      <c r="AQ120" s="105">
        <f>+AP120</f>
        <v>1662.3</v>
      </c>
      <c r="AR120" s="104">
        <v>1736.8</v>
      </c>
      <c r="AS120" s="104">
        <v>1899.5</v>
      </c>
      <c r="AT120" s="135">
        <v>2004.3</v>
      </c>
      <c r="AU120" s="135">
        <v>2107.3000000000002</v>
      </c>
      <c r="AV120" s="105">
        <f>+AU120</f>
        <v>2107.3000000000002</v>
      </c>
      <c r="AW120" s="108">
        <v>2179.3000000000002</v>
      </c>
      <c r="AX120" s="108">
        <v>2303.9</v>
      </c>
      <c r="AY120" s="108">
        <v>2413.4</v>
      </c>
      <c r="AZ120" s="108">
        <v>2495.1</v>
      </c>
      <c r="BA120" s="105">
        <f>+AZ120</f>
        <v>2495.1</v>
      </c>
      <c r="BB120" s="108">
        <v>2548</v>
      </c>
      <c r="BC120" s="108">
        <v>4070</v>
      </c>
      <c r="BD120" s="108">
        <v>4281</v>
      </c>
      <c r="BE120" s="104">
        <v>4438.2</v>
      </c>
      <c r="BF120" s="105">
        <f>+BE120</f>
        <v>4438.2</v>
      </c>
      <c r="BG120" s="108">
        <v>4644.8999999999996</v>
      </c>
      <c r="BH120" s="108">
        <v>4840.7</v>
      </c>
      <c r="BI120" s="108">
        <v>5062.8999999999996</v>
      </c>
      <c r="BJ120" s="108">
        <v>5277.5</v>
      </c>
      <c r="BK120" s="105">
        <f>+BJ120</f>
        <v>5277.5</v>
      </c>
      <c r="BL120" s="108">
        <v>5456.2</v>
      </c>
      <c r="BM120" s="108">
        <f>BL120+BM58+BM160+BM138</f>
        <v>5715.8</v>
      </c>
      <c r="BN120" s="555">
        <v>5908.4</v>
      </c>
      <c r="BO120" s="562">
        <f>BN120+BO58+BO160+BO138</f>
        <v>6038.0999999999995</v>
      </c>
      <c r="BP120" s="105">
        <f>+BO120</f>
        <v>6038.0999999999995</v>
      </c>
      <c r="BQ120" s="562">
        <v>6329.4</v>
      </c>
      <c r="BR120" s="104">
        <f>BQ120+BR58+BR160+BR138</f>
        <v>6611.5999999999995</v>
      </c>
      <c r="BS120" s="104">
        <f>BR120+BS58+BS160+BS138</f>
        <v>6939.5999999999995</v>
      </c>
      <c r="BT120" s="104">
        <f>BS120+BT58+BT160+BT138</f>
        <v>7065.3999999999987</v>
      </c>
      <c r="BU120" s="105">
        <f>+BT120</f>
        <v>7065.3999999999987</v>
      </c>
      <c r="BV120" s="104">
        <f>BU120+BV58+BV160+BV138</f>
        <v>7468.1999999999989</v>
      </c>
      <c r="BW120" s="104">
        <f>BV120+BW58+BW160+BW138</f>
        <v>7875.7999999999993</v>
      </c>
      <c r="BX120" s="104">
        <f>BW120+BX58+BX160+BX138</f>
        <v>8127.2999999999993</v>
      </c>
      <c r="BY120" s="104">
        <f>BX120+BY58+BY160+BY138</f>
        <v>8429.1999999999989</v>
      </c>
      <c r="BZ120" s="105">
        <f>+BY120</f>
        <v>8429.1999999999989</v>
      </c>
      <c r="CA120" s="104">
        <f ca="1">BZ120+CA58+CA160+CA138</f>
        <v>8783.8903069714233</v>
      </c>
      <c r="CB120" s="104">
        <f ca="1">CA120+CB58+CB160+CB138</f>
        <v>9203.6348819078194</v>
      </c>
      <c r="CC120" s="104">
        <f ca="1">CB120+CC58+CC160+CC138</f>
        <v>9528.3243601172089</v>
      </c>
      <c r="CD120" s="104">
        <f ca="1">CC120+CD58+CD160+CD138</f>
        <v>9802.4640041110069</v>
      </c>
      <c r="CE120" s="105">
        <f ca="1">+CD120</f>
        <v>9802.4640041110069</v>
      </c>
      <c r="CF120" s="104">
        <f ca="1">CE120+CF58+CF160+CF138</f>
        <v>10196.746024794294</v>
      </c>
      <c r="CG120" s="104">
        <f ca="1">CF120+CG58+CG160+CG138</f>
        <v>10662.251867275212</v>
      </c>
      <c r="CH120" s="104">
        <f ca="1">CG120+CH58+CH160+CH138</f>
        <v>11020.877721510969</v>
      </c>
      <c r="CI120" s="104">
        <f ca="1">CH120+CI58+CI160+CI138</f>
        <v>11324.755431242269</v>
      </c>
      <c r="CJ120" s="105">
        <f ca="1">+CI120</f>
        <v>11324.755431242269</v>
      </c>
      <c r="CK120" s="104">
        <f ca="1">CJ120+CK58+CK160+CK138</f>
        <v>11748.26606283382</v>
      </c>
      <c r="CL120" s="104">
        <f ca="1">CK120+CL58+CL160+CL138</f>
        <v>12248.742944622152</v>
      </c>
      <c r="CM120" s="104">
        <f ca="1">CL120+CM58+CM160+CM138</f>
        <v>12632.810983848649</v>
      </c>
      <c r="CN120" s="104">
        <f ca="1">CM120+CN58+CN160+CN138</f>
        <v>12960.522947114738</v>
      </c>
      <c r="CO120" s="105">
        <f ca="1">+CN120</f>
        <v>12960.522947114738</v>
      </c>
      <c r="CP120" s="104">
        <f ca="1">CO120+CP58+CP160+CP138</f>
        <v>13414.983232585952</v>
      </c>
      <c r="CQ120" s="104">
        <f ca="1">CP120+CQ58+CQ160+CQ138</f>
        <v>13951.66883837653</v>
      </c>
      <c r="CR120" s="104">
        <f ca="1">CQ120+CR58+CR160+CR138</f>
        <v>14362.558980696225</v>
      </c>
      <c r="CS120" s="104">
        <f ca="1">CR120+CS58+CS160+CS138</f>
        <v>14715.243626509537</v>
      </c>
      <c r="CT120" s="105">
        <f ca="1">+CS120</f>
        <v>14715.243626509537</v>
      </c>
      <c r="CU120" s="104">
        <f ca="1">CT120+CU58+CU160+CU138</f>
        <v>15194.107316560478</v>
      </c>
      <c r="CV120" s="104">
        <f ca="1">CU120+CV58+CV160+CV138</f>
        <v>15759.787996349169</v>
      </c>
      <c r="CW120" s="104">
        <f ca="1">CV120+CW58+CW160+CW138</f>
        <v>16190.456263705992</v>
      </c>
      <c r="CX120" s="104">
        <f ca="1">CW120+CX58+CX160+CX138</f>
        <v>16560.706714132015</v>
      </c>
      <c r="CY120" s="105">
        <f ca="1">+CX120</f>
        <v>16560.706714132015</v>
      </c>
      <c r="CZ120" s="106"/>
      <c r="DB120" s="308"/>
      <c r="DC120" s="729"/>
      <c r="DG120" s="308"/>
      <c r="DH120" s="308"/>
      <c r="DI120" s="730"/>
      <c r="DJ120" s="730"/>
      <c r="DK120" s="730"/>
      <c r="DL120" s="730"/>
      <c r="DM120" s="730"/>
      <c r="DN120" s="730"/>
      <c r="DU120" s="48"/>
      <c r="DV120" s="48"/>
      <c r="DW120" s="730"/>
      <c r="DX120" s="730"/>
      <c r="DY120" s="730"/>
      <c r="DZ120" s="730"/>
      <c r="EA120" s="730"/>
    </row>
    <row r="121" spans="1:131" x14ac:dyDescent="0.2">
      <c r="A121" s="48" t="s">
        <v>135</v>
      </c>
      <c r="B121" s="48"/>
      <c r="C121" s="48"/>
      <c r="D121" s="108">
        <v>-31.817</v>
      </c>
      <c r="E121" s="108">
        <v>-30.765999999999998</v>
      </c>
      <c r="F121" s="108">
        <v>-30.763000000000002</v>
      </c>
      <c r="G121" s="108">
        <v>-29.992999999999999</v>
      </c>
      <c r="H121" s="105">
        <f t="shared" si="140"/>
        <v>-29.992999999999999</v>
      </c>
      <c r="I121" s="108">
        <v>-29.992999999999999</v>
      </c>
      <c r="J121" s="108">
        <v>-29.016999999999999</v>
      </c>
      <c r="K121" s="108">
        <v>-28.981000000000002</v>
      </c>
      <c r="L121" s="108">
        <v>-28.190999999999999</v>
      </c>
      <c r="M121" s="105">
        <f t="shared" si="141"/>
        <v>-28.190999999999999</v>
      </c>
      <c r="N121" s="108">
        <v>-28.164999999999999</v>
      </c>
      <c r="O121" s="108">
        <v>-27.062000000000001</v>
      </c>
      <c r="P121" s="108">
        <v>-27.021000000000001</v>
      </c>
      <c r="Q121" s="108">
        <v>-26.249000000000002</v>
      </c>
      <c r="R121" s="105">
        <f t="shared" si="142"/>
        <v>-26.249000000000002</v>
      </c>
      <c r="S121" s="108">
        <v>-26.2</v>
      </c>
      <c r="T121" s="108">
        <v>-107.2</v>
      </c>
      <c r="U121" s="108">
        <v>-125.2</v>
      </c>
      <c r="V121" s="108">
        <v>-124.5</v>
      </c>
      <c r="W121" s="105">
        <f t="shared" si="143"/>
        <v>-124.5</v>
      </c>
      <c r="X121" s="108">
        <v>-623.9</v>
      </c>
      <c r="Y121" s="108">
        <v>-622.9</v>
      </c>
      <c r="Z121" s="108">
        <v>-623.6</v>
      </c>
      <c r="AA121" s="108">
        <f t="shared" si="144"/>
        <v>-622.6</v>
      </c>
      <c r="AB121" s="105">
        <v>-622.6</v>
      </c>
      <c r="AC121" s="108">
        <v>-620.29999999999995</v>
      </c>
      <c r="AD121" s="108">
        <v>-619.4</v>
      </c>
      <c r="AE121" s="108">
        <v>-619.4</v>
      </c>
      <c r="AF121" s="108">
        <f t="shared" si="145"/>
        <v>-618.20000000000005</v>
      </c>
      <c r="AG121" s="105">
        <v>-618.20000000000005</v>
      </c>
      <c r="AH121" s="108">
        <v>-612</v>
      </c>
      <c r="AI121" s="108">
        <v>-611.29999999999995</v>
      </c>
      <c r="AJ121" s="108">
        <v>-610.5</v>
      </c>
      <c r="AK121" s="108">
        <v>-609.5</v>
      </c>
      <c r="AL121" s="105">
        <f>AK121</f>
        <v>-609.5</v>
      </c>
      <c r="AM121" s="104">
        <v>-905.8</v>
      </c>
      <c r="AN121" s="104">
        <v>-904.9</v>
      </c>
      <c r="AO121" s="108">
        <f>-902.7-2.2</f>
        <v>-904.90000000000009</v>
      </c>
      <c r="AP121" s="108">
        <f>-902-2.2</f>
        <v>-904.2</v>
      </c>
      <c r="AQ121" s="105">
        <f>AP121</f>
        <v>-904.2</v>
      </c>
      <c r="AR121" s="108">
        <v>-891.2</v>
      </c>
      <c r="AS121" s="108">
        <f>-1072.6-2.2</f>
        <v>-1074.8</v>
      </c>
      <c r="AT121" s="135">
        <f>-1167.1-2.2</f>
        <v>-1169.3</v>
      </c>
      <c r="AU121" s="135">
        <f>-1296.8-2.2</f>
        <v>-1299</v>
      </c>
      <c r="AV121" s="105">
        <f>AU121</f>
        <v>-1299</v>
      </c>
      <c r="AW121" s="108">
        <f>-1679.7-2.2</f>
        <v>-1681.9</v>
      </c>
      <c r="AX121" s="108">
        <f>-1676.6-2.2</f>
        <v>-1678.8</v>
      </c>
      <c r="AY121" s="108">
        <f>-1676.8-2.2</f>
        <v>-1679</v>
      </c>
      <c r="AZ121" s="108">
        <f>-1674.5-2.2</f>
        <v>-1676.7</v>
      </c>
      <c r="BA121" s="105">
        <f>AZ121</f>
        <v>-1676.7</v>
      </c>
      <c r="BB121" s="108">
        <f>-1664.1-2.2</f>
        <v>-1666.3</v>
      </c>
      <c r="BC121" s="108">
        <f>-1661.8-2.2</f>
        <v>-1664</v>
      </c>
      <c r="BD121" s="108">
        <f>-1661.9-2.2</f>
        <v>-1664.1000000000001</v>
      </c>
      <c r="BE121" s="108">
        <f>-1660.1-2.2</f>
        <v>-1662.3</v>
      </c>
      <c r="BF121" s="105">
        <f>BE121</f>
        <v>-1662.3</v>
      </c>
      <c r="BG121" s="108">
        <f>-1649.4-2.2</f>
        <v>-1651.6000000000001</v>
      </c>
      <c r="BH121" s="108">
        <f>-1647.8-2.2</f>
        <v>-1650</v>
      </c>
      <c r="BI121" s="108">
        <v>-1650</v>
      </c>
      <c r="BJ121" s="108">
        <f>+-1646.3-2.2</f>
        <v>-1648.5</v>
      </c>
      <c r="BK121" s="105">
        <f>BJ121</f>
        <v>-1648.5</v>
      </c>
      <c r="BL121" s="108">
        <f>-1636.8+-2.2</f>
        <v>-1639</v>
      </c>
      <c r="BM121" s="108">
        <f>BL121+BM208</f>
        <v>-1618.9931329000003</v>
      </c>
      <c r="BN121" s="555">
        <v>-1637.7</v>
      </c>
      <c r="BO121" s="562">
        <f>6691.8-BO122-BO120-BO119-BO118-BO117</f>
        <v>-1600.0999999999995</v>
      </c>
      <c r="BP121" s="105">
        <f>BO121</f>
        <v>-1600.0999999999995</v>
      </c>
      <c r="BQ121" s="562">
        <f>-1659.4-2.2</f>
        <v>-1661.6000000000001</v>
      </c>
      <c r="BR121" s="108">
        <f>BQ121+BR208</f>
        <v>-1651.0814249200005</v>
      </c>
      <c r="BS121" s="108">
        <f>BR121+BS208</f>
        <v>-2012.3693406200005</v>
      </c>
      <c r="BT121" s="108">
        <f>BS121+BT208</f>
        <v>-2745.7206577400007</v>
      </c>
      <c r="BU121" s="105">
        <f>BT121</f>
        <v>-2745.7206577400007</v>
      </c>
      <c r="BV121" s="108">
        <f>BU121+BV208</f>
        <v>-2734.6077753800005</v>
      </c>
      <c r="BW121" s="108">
        <f>BV121+BW208</f>
        <v>-2741.4984630722447</v>
      </c>
      <c r="BX121" s="108">
        <f>BW121+BX208</f>
        <v>-2961.6824410122449</v>
      </c>
      <c r="BY121" s="108">
        <f>BX121+BY208</f>
        <v>-3745.7084410122452</v>
      </c>
      <c r="BZ121" s="105">
        <f>BY121</f>
        <v>-3745.7084410122452</v>
      </c>
      <c r="CA121" s="108">
        <f>BZ121+CA208</f>
        <v>-4049.2517162722452</v>
      </c>
      <c r="CB121" s="108">
        <f>CA121+CB208</f>
        <v>-4359.9458350840805</v>
      </c>
      <c r="CC121" s="108">
        <f>CB121+CC208</f>
        <v>-4675.8401517940811</v>
      </c>
      <c r="CD121" s="108">
        <f>CC121+CD208</f>
        <v>-4971.3491517940811</v>
      </c>
      <c r="CE121" s="105">
        <f>CD121</f>
        <v>-4971.3491517940811</v>
      </c>
      <c r="CF121" s="108">
        <f>CE121+CF208</f>
        <v>-5449.8924270540811</v>
      </c>
      <c r="CG121" s="108">
        <f>CF121+CG208</f>
        <v>-5935.5865458659164</v>
      </c>
      <c r="CH121" s="108">
        <f>CG121+CH208</f>
        <v>-6426.4808625759169</v>
      </c>
      <c r="CI121" s="108">
        <f>CH121+CI208</f>
        <v>-6896.989862575917</v>
      </c>
      <c r="CJ121" s="105">
        <f>CI121</f>
        <v>-6896.989862575917</v>
      </c>
      <c r="CK121" s="108">
        <f>CJ121+CK208</f>
        <v>-7375.5331378359169</v>
      </c>
      <c r="CL121" s="108">
        <f>CK121+CL208</f>
        <v>-7861.2272566477523</v>
      </c>
      <c r="CM121" s="108">
        <f>CL121+CM208</f>
        <v>-8352.1215733577537</v>
      </c>
      <c r="CN121" s="108">
        <f>CM121+CN208</f>
        <v>-8822.6305733577537</v>
      </c>
      <c r="CO121" s="105">
        <f>CN121</f>
        <v>-8822.6305733577537</v>
      </c>
      <c r="CP121" s="108">
        <f>CO121+CP208</f>
        <v>-9301.1738486177528</v>
      </c>
      <c r="CQ121" s="108">
        <f>CP121+CQ208</f>
        <v>-9786.867967429589</v>
      </c>
      <c r="CR121" s="108">
        <f>CQ121+CR208</f>
        <v>-10277.76228413959</v>
      </c>
      <c r="CS121" s="108">
        <f>CR121+CS208</f>
        <v>-10748.27128413959</v>
      </c>
      <c r="CT121" s="105">
        <f>CS121</f>
        <v>-10748.27128413959</v>
      </c>
      <c r="CU121" s="108">
        <f>CT121+CU208</f>
        <v>-11226.814559399591</v>
      </c>
      <c r="CV121" s="108">
        <f>CU121+CV208</f>
        <v>-11712.508678211427</v>
      </c>
      <c r="CW121" s="108">
        <f>CV121+CW208</f>
        <v>-12203.402994921427</v>
      </c>
      <c r="CX121" s="108">
        <f>CW121+CX208</f>
        <v>-12673.911994921427</v>
      </c>
      <c r="CY121" s="105">
        <f>CX121</f>
        <v>-12673.911994921427</v>
      </c>
      <c r="CZ121" s="106"/>
      <c r="DB121" s="308"/>
      <c r="DC121" s="308"/>
      <c r="DG121" s="308"/>
      <c r="DH121" s="308"/>
      <c r="DI121" s="730"/>
      <c r="DJ121" s="730"/>
      <c r="DK121" s="730"/>
      <c r="DL121" s="730"/>
      <c r="DM121" s="730"/>
      <c r="DN121" s="730"/>
      <c r="DU121" s="48"/>
      <c r="DV121" s="48"/>
      <c r="DW121" s="730"/>
      <c r="DX121" s="730"/>
      <c r="DY121" s="730"/>
      <c r="DZ121" s="730"/>
      <c r="EA121" s="730"/>
    </row>
    <row r="122" spans="1:131" x14ac:dyDescent="0.2">
      <c r="A122" s="48" t="s">
        <v>136</v>
      </c>
      <c r="B122" s="48"/>
      <c r="C122" s="48"/>
      <c r="D122" s="307">
        <f>79.178-0.125</f>
        <v>79.052999999999997</v>
      </c>
      <c r="E122" s="307">
        <f>65.731-0.1</f>
        <v>65.631</v>
      </c>
      <c r="F122" s="307">
        <f>286.626-0.075</f>
        <v>286.55099999999999</v>
      </c>
      <c r="G122" s="307">
        <f>372.302-0.05</f>
        <v>372.25200000000001</v>
      </c>
      <c r="H122" s="379">
        <f t="shared" si="140"/>
        <v>372.25200000000001</v>
      </c>
      <c r="I122" s="307">
        <f>250.385-0.025</f>
        <v>250.35999999999999</v>
      </c>
      <c r="J122" s="307">
        <v>228.35400000000001</v>
      </c>
      <c r="K122" s="307">
        <f>414.474-0.083</f>
        <v>414.39099999999996</v>
      </c>
      <c r="L122" s="380">
        <f>431.843-0.059</f>
        <v>431.78399999999999</v>
      </c>
      <c r="M122" s="379">
        <f t="shared" si="141"/>
        <v>431.78399999999999</v>
      </c>
      <c r="N122" s="307">
        <f>307.681-0.034</f>
        <v>307.64699999999999</v>
      </c>
      <c r="O122" s="380">
        <f>303.676-0.192</f>
        <v>303.48399999999998</v>
      </c>
      <c r="P122" s="380">
        <f>264.987-0.107</f>
        <v>264.88</v>
      </c>
      <c r="Q122" s="380">
        <f>247.427-0.067</f>
        <v>247.35999999999999</v>
      </c>
      <c r="R122" s="379">
        <f t="shared" si="142"/>
        <v>247.35999999999999</v>
      </c>
      <c r="S122" s="380">
        <v>293.7</v>
      </c>
      <c r="T122" s="380">
        <v>314.60000000000002</v>
      </c>
      <c r="U122" s="380">
        <v>359.4</v>
      </c>
      <c r="V122" s="380">
        <v>349.1</v>
      </c>
      <c r="W122" s="379">
        <f t="shared" si="143"/>
        <v>349.1</v>
      </c>
      <c r="X122" s="380">
        <v>508.2</v>
      </c>
      <c r="Y122" s="380">
        <v>477.7</v>
      </c>
      <c r="Z122" s="380">
        <v>665.5</v>
      </c>
      <c r="AA122" s="307">
        <f t="shared" si="144"/>
        <v>736</v>
      </c>
      <c r="AB122" s="379">
        <v>736</v>
      </c>
      <c r="AC122" s="380">
        <v>778.5</v>
      </c>
      <c r="AD122" s="380">
        <v>573.9</v>
      </c>
      <c r="AE122" s="380">
        <v>137.6</v>
      </c>
      <c r="AF122" s="307">
        <f t="shared" si="145"/>
        <v>94.2</v>
      </c>
      <c r="AG122" s="379">
        <v>94.2</v>
      </c>
      <c r="AH122" s="307">
        <v>488</v>
      </c>
      <c r="AI122" s="307">
        <v>556</v>
      </c>
      <c r="AJ122" s="307">
        <v>677.9</v>
      </c>
      <c r="AK122" s="380">
        <v>587.20000000000005</v>
      </c>
      <c r="AL122" s="379">
        <f>+AK122</f>
        <v>587.20000000000005</v>
      </c>
      <c r="AM122" s="380">
        <v>527.5</v>
      </c>
      <c r="AN122" s="380">
        <v>550.6</v>
      </c>
      <c r="AO122" s="380">
        <v>665.9</v>
      </c>
      <c r="AP122" s="380">
        <v>188.8</v>
      </c>
      <c r="AQ122" s="379">
        <f>+AP122</f>
        <v>188.8</v>
      </c>
      <c r="AR122" s="380">
        <v>223.7</v>
      </c>
      <c r="AS122" s="380">
        <v>216.8</v>
      </c>
      <c r="AT122" s="211">
        <v>127.8</v>
      </c>
      <c r="AU122" s="211">
        <v>173.7</v>
      </c>
      <c r="AV122" s="379">
        <f>+AU122</f>
        <v>173.7</v>
      </c>
      <c r="AW122" s="307">
        <v>83.1</v>
      </c>
      <c r="AX122" s="307">
        <v>157.69999999999999</v>
      </c>
      <c r="AY122" s="307">
        <v>165.3</v>
      </c>
      <c r="AZ122" s="307">
        <v>132.1</v>
      </c>
      <c r="BA122" s="379">
        <f>+AZ122</f>
        <v>132.1</v>
      </c>
      <c r="BB122" s="307">
        <v>108.6</v>
      </c>
      <c r="BC122" s="307">
        <f>4510.4-SUM(BC117:BC121)</f>
        <v>64.599999999999454</v>
      </c>
      <c r="BD122" s="307">
        <v>94</v>
      </c>
      <c r="BE122" s="380">
        <v>86</v>
      </c>
      <c r="BF122" s="379">
        <f>+BE122</f>
        <v>86</v>
      </c>
      <c r="BG122" s="307">
        <v>133.4</v>
      </c>
      <c r="BH122" s="307">
        <v>104.8</v>
      </c>
      <c r="BI122" s="108">
        <v>-8.6</v>
      </c>
      <c r="BJ122" s="307">
        <f>5881.3-BJ123-BJ121-BJ120-BJ119-BJ118-BJ117</f>
        <v>-20.3</v>
      </c>
      <c r="BK122" s="379">
        <f>+BJ122</f>
        <v>-20.3</v>
      </c>
      <c r="BL122" s="307">
        <f>6051.9-BL123-BL121-BL120-BL119-BL118-BL117</f>
        <v>-75.400000000000361</v>
      </c>
      <c r="BM122" s="307">
        <f>6165-BM123-BM121-BM120-BM119-BM118-BM117</f>
        <v>-264.40686710000028</v>
      </c>
      <c r="BN122" s="558">
        <v>-344.9</v>
      </c>
      <c r="BO122" s="579">
        <f>+BN122</f>
        <v>-344.9</v>
      </c>
      <c r="BP122" s="379">
        <f t="shared" ref="BP122:CY122" si="154">+BO122</f>
        <v>-344.9</v>
      </c>
      <c r="BQ122" s="579">
        <f>-456.5+140.6</f>
        <v>-315.89999999999998</v>
      </c>
      <c r="BR122" s="380">
        <f t="shared" si="154"/>
        <v>-315.89999999999998</v>
      </c>
      <c r="BS122" s="380">
        <f t="shared" si="154"/>
        <v>-315.89999999999998</v>
      </c>
      <c r="BT122" s="380">
        <f t="shared" si="154"/>
        <v>-315.89999999999998</v>
      </c>
      <c r="BU122" s="379">
        <f t="shared" si="154"/>
        <v>-315.89999999999998</v>
      </c>
      <c r="BV122" s="380">
        <f t="shared" si="154"/>
        <v>-315.89999999999998</v>
      </c>
      <c r="BW122" s="380">
        <f t="shared" si="154"/>
        <v>-315.89999999999998</v>
      </c>
      <c r="BX122" s="380">
        <f t="shared" si="154"/>
        <v>-315.89999999999998</v>
      </c>
      <c r="BY122" s="380">
        <f t="shared" si="154"/>
        <v>-315.89999999999998</v>
      </c>
      <c r="BZ122" s="379">
        <f>+BY122</f>
        <v>-315.89999999999998</v>
      </c>
      <c r="CA122" s="380">
        <f t="shared" si="154"/>
        <v>-315.89999999999998</v>
      </c>
      <c r="CB122" s="380">
        <f t="shared" si="154"/>
        <v>-315.89999999999998</v>
      </c>
      <c r="CC122" s="380">
        <f t="shared" si="154"/>
        <v>-315.89999999999998</v>
      </c>
      <c r="CD122" s="380">
        <f t="shared" si="154"/>
        <v>-315.89999999999998</v>
      </c>
      <c r="CE122" s="379">
        <f t="shared" si="154"/>
        <v>-315.89999999999998</v>
      </c>
      <c r="CF122" s="380">
        <f t="shared" si="154"/>
        <v>-315.89999999999998</v>
      </c>
      <c r="CG122" s="380">
        <f t="shared" si="154"/>
        <v>-315.89999999999998</v>
      </c>
      <c r="CH122" s="380">
        <f t="shared" si="154"/>
        <v>-315.89999999999998</v>
      </c>
      <c r="CI122" s="380">
        <f t="shared" si="154"/>
        <v>-315.89999999999998</v>
      </c>
      <c r="CJ122" s="379">
        <f t="shared" si="154"/>
        <v>-315.89999999999998</v>
      </c>
      <c r="CK122" s="380">
        <f t="shared" si="154"/>
        <v>-315.89999999999998</v>
      </c>
      <c r="CL122" s="380">
        <f t="shared" si="154"/>
        <v>-315.89999999999998</v>
      </c>
      <c r="CM122" s="380">
        <f t="shared" si="154"/>
        <v>-315.89999999999998</v>
      </c>
      <c r="CN122" s="380">
        <f t="shared" si="154"/>
        <v>-315.89999999999998</v>
      </c>
      <c r="CO122" s="379">
        <f t="shared" si="154"/>
        <v>-315.89999999999998</v>
      </c>
      <c r="CP122" s="380">
        <f t="shared" si="154"/>
        <v>-315.89999999999998</v>
      </c>
      <c r="CQ122" s="380">
        <f t="shared" si="154"/>
        <v>-315.89999999999998</v>
      </c>
      <c r="CR122" s="380">
        <f t="shared" si="154"/>
        <v>-315.89999999999998</v>
      </c>
      <c r="CS122" s="380">
        <f t="shared" si="154"/>
        <v>-315.89999999999998</v>
      </c>
      <c r="CT122" s="379">
        <f t="shared" si="154"/>
        <v>-315.89999999999998</v>
      </c>
      <c r="CU122" s="380">
        <f t="shared" si="154"/>
        <v>-315.89999999999998</v>
      </c>
      <c r="CV122" s="380">
        <f t="shared" si="154"/>
        <v>-315.89999999999998</v>
      </c>
      <c r="CW122" s="380">
        <f t="shared" si="154"/>
        <v>-315.89999999999998</v>
      </c>
      <c r="CX122" s="380">
        <f t="shared" si="154"/>
        <v>-315.89999999999998</v>
      </c>
      <c r="CY122" s="379">
        <f t="shared" si="154"/>
        <v>-315.89999999999998</v>
      </c>
      <c r="CZ122" s="207"/>
      <c r="DB122" s="308"/>
      <c r="DC122" s="729"/>
      <c r="DG122" s="308"/>
      <c r="DH122" s="308"/>
      <c r="DI122" s="730"/>
      <c r="DJ122" s="730"/>
      <c r="DK122" s="730"/>
      <c r="DL122" s="730"/>
      <c r="DM122" s="730"/>
      <c r="DN122" s="730"/>
      <c r="DU122" s="48"/>
      <c r="DV122" s="48"/>
      <c r="DW122" s="730"/>
      <c r="DX122" s="730"/>
      <c r="DY122" s="730"/>
      <c r="DZ122" s="730"/>
      <c r="EA122" s="730"/>
    </row>
    <row r="123" spans="1:131" x14ac:dyDescent="0.2">
      <c r="A123" s="48" t="s">
        <v>275</v>
      </c>
      <c r="B123" s="48"/>
      <c r="C123" s="48"/>
      <c r="D123" s="205"/>
      <c r="E123" s="205"/>
      <c r="F123" s="205"/>
      <c r="G123" s="203"/>
      <c r="H123" s="204"/>
      <c r="I123" s="205"/>
      <c r="J123" s="205"/>
      <c r="K123" s="205"/>
      <c r="L123" s="203"/>
      <c r="M123" s="204"/>
      <c r="N123" s="205"/>
      <c r="O123" s="203"/>
      <c r="P123" s="203"/>
      <c r="Q123" s="203"/>
      <c r="R123" s="204"/>
      <c r="S123" s="203"/>
      <c r="T123" s="203"/>
      <c r="U123" s="203"/>
      <c r="V123" s="203"/>
      <c r="W123" s="204"/>
      <c r="X123" s="203"/>
      <c r="Y123" s="203"/>
      <c r="Z123" s="203"/>
      <c r="AA123" s="205"/>
      <c r="AB123" s="204"/>
      <c r="AC123" s="203"/>
      <c r="AD123" s="203"/>
      <c r="AE123" s="203"/>
      <c r="AF123" s="205"/>
      <c r="AG123" s="204"/>
      <c r="AH123" s="205"/>
      <c r="AI123" s="205"/>
      <c r="AJ123" s="205"/>
      <c r="AK123" s="203"/>
      <c r="AL123" s="204"/>
      <c r="AM123" s="203"/>
      <c r="AN123" s="203"/>
      <c r="AO123" s="203"/>
      <c r="AP123" s="203"/>
      <c r="AQ123" s="204"/>
      <c r="AR123" s="203"/>
      <c r="AS123" s="203"/>
      <c r="AT123" s="209"/>
      <c r="AU123" s="209"/>
      <c r="AV123" s="204"/>
      <c r="AW123" s="205"/>
      <c r="AX123" s="205"/>
      <c r="AY123" s="205"/>
      <c r="AZ123" s="205"/>
      <c r="BA123" s="204"/>
      <c r="BB123" s="205"/>
      <c r="BC123" s="205"/>
      <c r="BD123" s="205"/>
      <c r="BE123" s="203"/>
      <c r="BF123" s="204"/>
      <c r="BG123" s="205"/>
      <c r="BH123" s="205"/>
      <c r="BI123" s="205"/>
      <c r="BJ123" s="203"/>
      <c r="BK123" s="204"/>
      <c r="BL123" s="205"/>
      <c r="BM123" s="205"/>
      <c r="BN123" s="556"/>
      <c r="BO123" s="203"/>
      <c r="BP123" s="204"/>
      <c r="BQ123" s="563"/>
      <c r="BR123" s="203"/>
      <c r="BS123" s="203"/>
      <c r="BT123" s="203"/>
      <c r="BU123" s="204"/>
      <c r="BV123" s="203"/>
      <c r="BW123" s="203"/>
      <c r="BX123" s="203"/>
      <c r="BY123" s="203"/>
      <c r="BZ123" s="204"/>
      <c r="CA123" s="203"/>
      <c r="CB123" s="203"/>
      <c r="CC123" s="203"/>
      <c r="CD123" s="203"/>
      <c r="CE123" s="204"/>
      <c r="CF123" s="203"/>
      <c r="CG123" s="203"/>
      <c r="CH123" s="203"/>
      <c r="CI123" s="203"/>
      <c r="CJ123" s="204"/>
      <c r="CK123" s="203"/>
      <c r="CL123" s="203"/>
      <c r="CM123" s="203"/>
      <c r="CN123" s="203"/>
      <c r="CO123" s="204"/>
      <c r="CP123" s="203"/>
      <c r="CQ123" s="203"/>
      <c r="CR123" s="203"/>
      <c r="CS123" s="203"/>
      <c r="CT123" s="204"/>
      <c r="CU123" s="203"/>
      <c r="CV123" s="203"/>
      <c r="CW123" s="203"/>
      <c r="CX123" s="203"/>
      <c r="CY123" s="204"/>
      <c r="CZ123" s="207"/>
      <c r="DB123" s="308"/>
      <c r="DC123" s="729"/>
      <c r="DG123" s="308"/>
      <c r="DH123" s="308"/>
      <c r="DI123" s="730"/>
      <c r="DJ123" s="730"/>
      <c r="DK123" s="730"/>
      <c r="DL123" s="730"/>
      <c r="DM123" s="730"/>
      <c r="DN123" s="730"/>
      <c r="DU123" s="48"/>
      <c r="DV123" s="48"/>
      <c r="DW123" s="730"/>
      <c r="DX123" s="730"/>
      <c r="DY123" s="730"/>
      <c r="DZ123" s="730"/>
      <c r="EA123" s="730"/>
    </row>
    <row r="124" spans="1:131" x14ac:dyDescent="0.2">
      <c r="A124" s="78"/>
      <c r="B124" s="78" t="s">
        <v>137</v>
      </c>
      <c r="C124" s="78"/>
      <c r="D124" s="87">
        <f t="shared" ref="D124:AH124" si="155">SUM(D117:D122)</f>
        <v>1439.6619999999998</v>
      </c>
      <c r="E124" s="87">
        <f t="shared" si="155"/>
        <v>1894.7280000000001</v>
      </c>
      <c r="F124" s="87">
        <f t="shared" si="155"/>
        <v>2204.9369999999999</v>
      </c>
      <c r="G124" s="87">
        <f t="shared" si="155"/>
        <v>2377.6190000000001</v>
      </c>
      <c r="H124" s="85">
        <f t="shared" si="155"/>
        <v>2377.6190000000001</v>
      </c>
      <c r="I124" s="87">
        <f t="shared" si="155"/>
        <v>2310.683</v>
      </c>
      <c r="J124" s="87">
        <f t="shared" si="155"/>
        <v>2381.1690000000003</v>
      </c>
      <c r="K124" s="87">
        <f t="shared" si="155"/>
        <v>2669.2429999999995</v>
      </c>
      <c r="L124" s="84">
        <f t="shared" si="155"/>
        <v>2779.913</v>
      </c>
      <c r="M124" s="85">
        <f t="shared" si="155"/>
        <v>2779.913</v>
      </c>
      <c r="N124" s="84">
        <f t="shared" si="155"/>
        <v>2742.21</v>
      </c>
      <c r="O124" s="84">
        <f t="shared" si="155"/>
        <v>2834.0189999999998</v>
      </c>
      <c r="P124" s="84">
        <f t="shared" si="155"/>
        <v>2906.721</v>
      </c>
      <c r="Q124" s="84">
        <f t="shared" si="155"/>
        <v>2975.1690000000003</v>
      </c>
      <c r="R124" s="85">
        <f t="shared" si="155"/>
        <v>2975.1690000000003</v>
      </c>
      <c r="S124" s="84">
        <f t="shared" si="155"/>
        <v>3120</v>
      </c>
      <c r="T124" s="84">
        <f t="shared" si="155"/>
        <v>3167.0000000000005</v>
      </c>
      <c r="U124" s="84">
        <f t="shared" si="155"/>
        <v>3327.9</v>
      </c>
      <c r="V124" s="84">
        <f t="shared" si="155"/>
        <v>3417.4999999999995</v>
      </c>
      <c r="W124" s="85">
        <f t="shared" si="155"/>
        <v>3417.4999999999995</v>
      </c>
      <c r="X124" s="84">
        <f t="shared" si="155"/>
        <v>3128.2999999999997</v>
      </c>
      <c r="Y124" s="84">
        <f t="shared" si="155"/>
        <v>3188.7999999999997</v>
      </c>
      <c r="Z124" s="84">
        <f t="shared" si="155"/>
        <v>3512.7000000000003</v>
      </c>
      <c r="AA124" s="87">
        <f t="shared" si="155"/>
        <v>2765.9</v>
      </c>
      <c r="AB124" s="85">
        <f t="shared" si="155"/>
        <v>2765.9</v>
      </c>
      <c r="AC124" s="84">
        <f t="shared" si="155"/>
        <v>2880.1000000000004</v>
      </c>
      <c r="AD124" s="84">
        <f t="shared" si="155"/>
        <v>2675.8</v>
      </c>
      <c r="AE124" s="84">
        <f t="shared" si="155"/>
        <v>2341.6999999999998</v>
      </c>
      <c r="AF124" s="87">
        <f t="shared" si="155"/>
        <v>1908.3000000000002</v>
      </c>
      <c r="AG124" s="85">
        <f t="shared" si="155"/>
        <v>1908.3000000000002</v>
      </c>
      <c r="AH124" s="87">
        <f t="shared" si="155"/>
        <v>2325.1999999999998</v>
      </c>
      <c r="AI124" s="87">
        <v>2515.3000000000002</v>
      </c>
      <c r="AJ124" s="84">
        <f t="shared" ref="AJ124:BF124" si="156">SUM(AJ117:AJ122)</f>
        <v>2697.2000000000003</v>
      </c>
      <c r="AK124" s="84">
        <f t="shared" si="156"/>
        <v>2576.3000000000002</v>
      </c>
      <c r="AL124" s="85">
        <f t="shared" si="156"/>
        <v>2576.3000000000002</v>
      </c>
      <c r="AM124" s="84">
        <f t="shared" si="156"/>
        <v>2297.3999999999996</v>
      </c>
      <c r="AN124" s="84">
        <f t="shared" si="156"/>
        <v>2429.8999999999996</v>
      </c>
      <c r="AO124" s="84">
        <f t="shared" si="156"/>
        <v>2719</v>
      </c>
      <c r="AP124" s="84">
        <f t="shared" si="156"/>
        <v>2551.9000000000005</v>
      </c>
      <c r="AQ124" s="85">
        <f t="shared" si="156"/>
        <v>2551.9000000000005</v>
      </c>
      <c r="AR124" s="84">
        <f t="shared" si="156"/>
        <v>2715.0999999999995</v>
      </c>
      <c r="AS124" s="84">
        <f t="shared" si="156"/>
        <v>2699.1000000000004</v>
      </c>
      <c r="AT124" s="86">
        <f t="shared" si="156"/>
        <v>2638</v>
      </c>
      <c r="AU124" s="86">
        <f t="shared" si="156"/>
        <v>2676</v>
      </c>
      <c r="AV124" s="85">
        <f t="shared" si="156"/>
        <v>2676</v>
      </c>
      <c r="AW124" s="84">
        <f t="shared" si="156"/>
        <v>2299.8000000000002</v>
      </c>
      <c r="AX124" s="84">
        <f t="shared" si="156"/>
        <v>2618.0999999999995</v>
      </c>
      <c r="AY124" s="84">
        <f t="shared" si="156"/>
        <v>2775.3</v>
      </c>
      <c r="AZ124" s="84">
        <f t="shared" si="156"/>
        <v>2860.2999999999997</v>
      </c>
      <c r="BA124" s="85">
        <f t="shared" si="156"/>
        <v>2860.2999999999997</v>
      </c>
      <c r="BB124" s="84">
        <f t="shared" si="156"/>
        <v>2997.4</v>
      </c>
      <c r="BC124" s="84">
        <f t="shared" si="156"/>
        <v>4510.3999999999996</v>
      </c>
      <c r="BD124" s="87">
        <f t="shared" si="156"/>
        <v>4789.7999999999993</v>
      </c>
      <c r="BE124" s="84">
        <f t="shared" si="156"/>
        <v>4981.3</v>
      </c>
      <c r="BF124" s="85">
        <f t="shared" si="156"/>
        <v>4981.3</v>
      </c>
      <c r="BG124" s="87">
        <f>SUM(BG117:BG122)</f>
        <v>5286.9999999999991</v>
      </c>
      <c r="BH124" s="87">
        <f>SUM(BH117:BH122)</f>
        <v>5487.4000000000005</v>
      </c>
      <c r="BI124" s="87">
        <f t="shared" ref="BI124:BP124" si="157">SUM(BI117:BI123)</f>
        <v>5635</v>
      </c>
      <c r="BJ124" s="84">
        <f t="shared" si="157"/>
        <v>5881.3</v>
      </c>
      <c r="BK124" s="85">
        <f t="shared" si="157"/>
        <v>5881.3</v>
      </c>
      <c r="BL124" s="84">
        <f t="shared" si="157"/>
        <v>6051.9</v>
      </c>
      <c r="BM124" s="87">
        <f t="shared" si="157"/>
        <v>6165</v>
      </c>
      <c r="BN124" s="557">
        <f t="shared" si="157"/>
        <v>6492.4000000000005</v>
      </c>
      <c r="BO124" s="84">
        <f t="shared" si="157"/>
        <v>6691.8</v>
      </c>
      <c r="BP124" s="85">
        <f t="shared" si="157"/>
        <v>6691.8</v>
      </c>
      <c r="BQ124" s="84">
        <f>SUM(BQ117:BQ123)</f>
        <v>6988.6</v>
      </c>
      <c r="BR124" s="84">
        <f t="shared" ref="BR124:BX124" si="158">SUM(BR117:BR123)</f>
        <v>7174.1000000000013</v>
      </c>
      <c r="BS124" s="84">
        <f t="shared" si="158"/>
        <v>6997.7000000000007</v>
      </c>
      <c r="BT124" s="84">
        <f>SUM(BT117:BT123)</f>
        <v>6884.8000000000011</v>
      </c>
      <c r="BU124" s="85">
        <f>SUM(BU117:BU123)</f>
        <v>6884.8000000000011</v>
      </c>
      <c r="BV124" s="84">
        <f t="shared" si="158"/>
        <v>7397.8000000000011</v>
      </c>
      <c r="BW124" s="84">
        <f t="shared" si="158"/>
        <v>7945.3000000000011</v>
      </c>
      <c r="BX124" s="84">
        <f t="shared" si="158"/>
        <v>8009.1000000000022</v>
      </c>
      <c r="BY124" s="84">
        <f>SUM(BY117:BY123)</f>
        <v>8062.7000000000025</v>
      </c>
      <c r="BZ124" s="85">
        <f t="shared" ref="BZ124:CY124" si="159">SUM(BZ117:BZ123)</f>
        <v>8062.7000000000025</v>
      </c>
      <c r="CA124" s="84">
        <f t="shared" ca="1" si="159"/>
        <v>8130.4570317114249</v>
      </c>
      <c r="CB124" s="84">
        <f t="shared" ca="1" si="159"/>
        <v>8254.6874878359868</v>
      </c>
      <c r="CC124" s="84">
        <f t="shared" ca="1" si="159"/>
        <v>8281.742649335376</v>
      </c>
      <c r="CD124" s="84">
        <f t="shared" ca="1" si="159"/>
        <v>8277.3132933291727</v>
      </c>
      <c r="CE124" s="85">
        <f t="shared" ca="1" si="159"/>
        <v>8277.3132933291727</v>
      </c>
      <c r="CF124" s="84">
        <f t="shared" ca="1" si="159"/>
        <v>8210.90778875246</v>
      </c>
      <c r="CG124" s="84">
        <f t="shared" ca="1" si="159"/>
        <v>8207.0380124215426</v>
      </c>
      <c r="CH124" s="84">
        <f t="shared" ca="1" si="159"/>
        <v>8094.3990499472984</v>
      </c>
      <c r="CI124" s="84">
        <f t="shared" ca="1" si="159"/>
        <v>7945.9782596786008</v>
      </c>
      <c r="CJ124" s="85">
        <f t="shared" ca="1" si="159"/>
        <v>7945.9782596786008</v>
      </c>
      <c r="CK124" s="84">
        <f t="shared" ca="1" si="159"/>
        <v>7909.6941535101505</v>
      </c>
      <c r="CL124" s="84">
        <f t="shared" ca="1" si="159"/>
        <v>7941.6113414866468</v>
      </c>
      <c r="CM124" s="84">
        <f t="shared" ca="1" si="159"/>
        <v>7855.3960390031425</v>
      </c>
      <c r="CN124" s="84">
        <f t="shared" ca="1" si="159"/>
        <v>7731.7200272692298</v>
      </c>
      <c r="CO124" s="85">
        <f t="shared" ca="1" si="159"/>
        <v>7731.7200272692298</v>
      </c>
      <c r="CP124" s="84">
        <f t="shared" ca="1" si="159"/>
        <v>7727.3230018554477</v>
      </c>
      <c r="CQ124" s="84">
        <f t="shared" ca="1" si="159"/>
        <v>7796.3056350841889</v>
      </c>
      <c r="CR124" s="84">
        <f t="shared" ca="1" si="159"/>
        <v>7737.9429844438837</v>
      </c>
      <c r="CS124" s="84">
        <f t="shared" ca="1" si="159"/>
        <v>7640.1957065071947</v>
      </c>
      <c r="CT124" s="85">
        <f t="shared" ca="1" si="159"/>
        <v>7640.1957065071947</v>
      </c>
      <c r="CU124" s="84">
        <f t="shared" ca="1" si="159"/>
        <v>7661.1863838918853</v>
      </c>
      <c r="CV124" s="84">
        <f t="shared" ca="1" si="159"/>
        <v>7760.0636484312399</v>
      </c>
      <c r="CW124" s="84">
        <f t="shared" ca="1" si="159"/>
        <v>7722.5611990155612</v>
      </c>
      <c r="CX124" s="84">
        <f t="shared" ca="1" si="159"/>
        <v>7643.3835795040868</v>
      </c>
      <c r="CY124" s="85">
        <f t="shared" ca="1" si="159"/>
        <v>7643.3835795040868</v>
      </c>
      <c r="CZ124" s="86"/>
      <c r="DA124" s="7"/>
      <c r="DB124" s="738"/>
      <c r="DC124" s="797"/>
      <c r="DD124" s="7"/>
      <c r="DE124" s="734"/>
      <c r="DF124" s="7"/>
      <c r="DG124" s="738"/>
      <c r="DH124" s="738"/>
      <c r="DI124" s="733"/>
      <c r="DJ124" s="733"/>
      <c r="DK124" s="733"/>
      <c r="DL124" s="733"/>
      <c r="DM124" s="733"/>
      <c r="DN124" s="733"/>
      <c r="DU124" s="78"/>
      <c r="DV124" s="78"/>
      <c r="DW124" s="733"/>
      <c r="DX124" s="733"/>
      <c r="DY124" s="733"/>
      <c r="DZ124" s="733"/>
      <c r="EA124" s="733"/>
    </row>
    <row r="125" spans="1:131" x14ac:dyDescent="0.2">
      <c r="A125" s="48"/>
      <c r="B125" s="48"/>
      <c r="C125" s="48"/>
      <c r="D125" s="108"/>
      <c r="E125" s="108"/>
      <c r="F125" s="108"/>
      <c r="G125" s="108"/>
      <c r="H125" s="105"/>
      <c r="I125" s="108"/>
      <c r="J125" s="108"/>
      <c r="K125" s="108"/>
      <c r="L125" s="104"/>
      <c r="M125" s="105"/>
      <c r="N125" s="104"/>
      <c r="O125" s="104"/>
      <c r="P125" s="104"/>
      <c r="Q125" s="104"/>
      <c r="R125" s="105"/>
      <c r="S125" s="104"/>
      <c r="T125" s="104"/>
      <c r="U125" s="104"/>
      <c r="V125" s="104"/>
      <c r="W125" s="105"/>
      <c r="X125" s="104"/>
      <c r="Y125" s="104"/>
      <c r="Z125" s="104"/>
      <c r="AA125" s="108"/>
      <c r="AB125" s="105"/>
      <c r="AC125" s="104"/>
      <c r="AD125" s="104"/>
      <c r="AE125" s="104"/>
      <c r="AF125" s="108"/>
      <c r="AG125" s="105"/>
      <c r="AH125" s="108"/>
      <c r="AI125" s="104"/>
      <c r="AJ125" s="104"/>
      <c r="AK125" s="104"/>
      <c r="AL125" s="105"/>
      <c r="AM125" s="104"/>
      <c r="AN125" s="104"/>
      <c r="AO125" s="104"/>
      <c r="AP125" s="104"/>
      <c r="AQ125" s="105"/>
      <c r="AR125" s="104"/>
      <c r="AS125" s="104"/>
      <c r="AT125" s="106"/>
      <c r="AU125" s="106"/>
      <c r="AV125" s="105"/>
      <c r="AW125" s="104"/>
      <c r="AX125" s="104"/>
      <c r="AY125" s="104"/>
      <c r="AZ125" s="104"/>
      <c r="BA125" s="105"/>
      <c r="BB125" s="104"/>
      <c r="BC125" s="104"/>
      <c r="BD125" s="108"/>
      <c r="BE125" s="104"/>
      <c r="BF125" s="105"/>
      <c r="BG125" s="108"/>
      <c r="BH125" s="108"/>
      <c r="BI125" s="108"/>
      <c r="BJ125" s="104"/>
      <c r="BK125" s="105"/>
      <c r="BL125" s="104"/>
      <c r="BM125" s="108"/>
      <c r="BN125" s="555"/>
      <c r="BO125" s="104"/>
      <c r="BP125" s="105"/>
      <c r="BQ125" s="104"/>
      <c r="BR125" s="104"/>
      <c r="BS125" s="104"/>
      <c r="BT125" s="104"/>
      <c r="BU125" s="105"/>
      <c r="BV125" s="104"/>
      <c r="BW125" s="104"/>
      <c r="BX125" s="104"/>
      <c r="BY125" s="104"/>
      <c r="BZ125" s="105"/>
      <c r="CA125" s="104"/>
      <c r="CB125" s="104"/>
      <c r="CC125" s="104"/>
      <c r="CD125" s="104"/>
      <c r="CE125" s="105"/>
      <c r="CF125" s="104"/>
      <c r="CG125" s="104"/>
      <c r="CH125" s="104"/>
      <c r="CI125" s="104"/>
      <c r="CJ125" s="105"/>
      <c r="CK125" s="104"/>
      <c r="CL125" s="104"/>
      <c r="CM125" s="104"/>
      <c r="CN125" s="104"/>
      <c r="CO125" s="105"/>
      <c r="CP125" s="104"/>
      <c r="CQ125" s="104"/>
      <c r="CR125" s="104"/>
      <c r="CS125" s="104"/>
      <c r="CT125" s="105"/>
      <c r="CU125" s="104"/>
      <c r="CV125" s="104"/>
      <c r="CW125" s="104"/>
      <c r="CX125" s="104"/>
      <c r="CY125" s="105"/>
      <c r="CZ125" s="106"/>
      <c r="DB125" s="308"/>
      <c r="DC125" s="729"/>
      <c r="DG125" s="308"/>
      <c r="DH125" s="308"/>
      <c r="DI125" s="730"/>
      <c r="DJ125" s="730"/>
      <c r="DK125" s="730"/>
      <c r="DL125" s="730"/>
      <c r="DM125" s="730"/>
      <c r="DN125" s="730"/>
      <c r="DU125" s="48"/>
      <c r="DV125" s="48"/>
      <c r="DW125" s="730"/>
      <c r="DX125" s="730"/>
      <c r="DY125" s="730"/>
      <c r="DZ125" s="730"/>
      <c r="EA125" s="730"/>
    </row>
    <row r="126" spans="1:131" x14ac:dyDescent="0.2">
      <c r="A126" s="78"/>
      <c r="B126" s="78" t="s">
        <v>138</v>
      </c>
      <c r="C126" s="78"/>
      <c r="D126" s="87">
        <f t="shared" ref="D126:AI126" si="160">+D124+D114</f>
        <v>5358.9560000000001</v>
      </c>
      <c r="E126" s="87">
        <f t="shared" si="160"/>
        <v>5198.6899999999996</v>
      </c>
      <c r="F126" s="87">
        <f t="shared" si="160"/>
        <v>5624.28</v>
      </c>
      <c r="G126" s="87">
        <f t="shared" si="160"/>
        <v>5558.6730000000007</v>
      </c>
      <c r="H126" s="85">
        <f t="shared" si="160"/>
        <v>5558.6730000000007</v>
      </c>
      <c r="I126" s="87">
        <f t="shared" si="160"/>
        <v>5549.0740000000005</v>
      </c>
      <c r="J126" s="87">
        <f t="shared" si="160"/>
        <v>5655.6500000000005</v>
      </c>
      <c r="K126" s="87">
        <f t="shared" si="160"/>
        <v>6079.884</v>
      </c>
      <c r="L126" s="84">
        <f t="shared" si="160"/>
        <v>7804.1720000000005</v>
      </c>
      <c r="M126" s="85">
        <f t="shared" si="160"/>
        <v>7804.1720000000005</v>
      </c>
      <c r="N126" s="84">
        <f t="shared" si="160"/>
        <v>7501.4439999999995</v>
      </c>
      <c r="O126" s="84">
        <f t="shared" si="160"/>
        <v>7463.3729999999996</v>
      </c>
      <c r="P126" s="84">
        <f t="shared" si="160"/>
        <v>7702.5049999999992</v>
      </c>
      <c r="Q126" s="84">
        <f t="shared" si="160"/>
        <v>7400.5519999999997</v>
      </c>
      <c r="R126" s="85">
        <f t="shared" si="160"/>
        <v>7400.5519999999997</v>
      </c>
      <c r="S126" s="84">
        <f t="shared" si="160"/>
        <v>7671.5</v>
      </c>
      <c r="T126" s="84">
        <f t="shared" si="160"/>
        <v>9448.7000000000007</v>
      </c>
      <c r="U126" s="84">
        <f t="shared" si="160"/>
        <v>9845.2999999999993</v>
      </c>
      <c r="V126" s="84">
        <f t="shared" si="160"/>
        <v>9438.2000000000007</v>
      </c>
      <c r="W126" s="85">
        <f t="shared" si="160"/>
        <v>9438.2000000000007</v>
      </c>
      <c r="X126" s="84">
        <f t="shared" si="160"/>
        <v>9826.2000000000007</v>
      </c>
      <c r="Y126" s="84">
        <f t="shared" si="160"/>
        <v>9731.1</v>
      </c>
      <c r="Z126" s="84">
        <f t="shared" si="160"/>
        <v>10193.6</v>
      </c>
      <c r="AA126" s="87">
        <f t="shared" si="160"/>
        <v>10052.800000000001</v>
      </c>
      <c r="AB126" s="85">
        <f t="shared" si="160"/>
        <v>10052.800000000001</v>
      </c>
      <c r="AC126" s="84">
        <f t="shared" si="160"/>
        <v>10156.300000000001</v>
      </c>
      <c r="AD126" s="84">
        <f t="shared" si="160"/>
        <v>9421.7999999999993</v>
      </c>
      <c r="AE126" s="84">
        <f t="shared" si="160"/>
        <v>9108.5</v>
      </c>
      <c r="AF126" s="87">
        <f t="shared" si="160"/>
        <v>8036.5000000000009</v>
      </c>
      <c r="AG126" s="85">
        <f t="shared" si="160"/>
        <v>8036.5000000000009</v>
      </c>
      <c r="AH126" s="87">
        <f t="shared" si="160"/>
        <v>8401.5</v>
      </c>
      <c r="AI126" s="84">
        <f t="shared" si="160"/>
        <v>8433.9000000000015</v>
      </c>
      <c r="AJ126" s="84">
        <f t="shared" ref="AJ126:BO126" si="161">+AJ124+AJ114</f>
        <v>8728.6</v>
      </c>
      <c r="AK126" s="84">
        <f t="shared" si="161"/>
        <v>8094.3</v>
      </c>
      <c r="AL126" s="85">
        <f t="shared" si="161"/>
        <v>8094.3</v>
      </c>
      <c r="AM126" s="84">
        <f t="shared" si="161"/>
        <v>7896.1</v>
      </c>
      <c r="AN126" s="84">
        <f t="shared" si="161"/>
        <v>7877.0999999999995</v>
      </c>
      <c r="AO126" s="84">
        <f t="shared" si="161"/>
        <v>8257.7999999999993</v>
      </c>
      <c r="AP126" s="84">
        <f t="shared" si="161"/>
        <v>7167.6</v>
      </c>
      <c r="AQ126" s="85">
        <f t="shared" si="161"/>
        <v>7167.6</v>
      </c>
      <c r="AR126" s="84">
        <f t="shared" si="161"/>
        <v>7075.3999999999987</v>
      </c>
      <c r="AS126" s="84">
        <f t="shared" si="161"/>
        <v>7034.7</v>
      </c>
      <c r="AT126" s="86">
        <f t="shared" si="161"/>
        <v>7225.2</v>
      </c>
      <c r="AU126" s="86">
        <f t="shared" si="161"/>
        <v>7109.9</v>
      </c>
      <c r="AV126" s="85">
        <f t="shared" si="161"/>
        <v>7109.9</v>
      </c>
      <c r="AW126" s="84">
        <f t="shared" si="161"/>
        <v>7008.2</v>
      </c>
      <c r="AX126" s="84">
        <f t="shared" si="161"/>
        <v>8040.4999999999991</v>
      </c>
      <c r="AY126" s="84">
        <f t="shared" si="161"/>
        <v>8322.7000000000007</v>
      </c>
      <c r="AZ126" s="84">
        <f t="shared" si="161"/>
        <v>7638.0999999999985</v>
      </c>
      <c r="BA126" s="85">
        <f t="shared" si="161"/>
        <v>7638.0999999999985</v>
      </c>
      <c r="BB126" s="84">
        <f t="shared" si="161"/>
        <v>9452.4</v>
      </c>
      <c r="BC126" s="84">
        <f t="shared" si="161"/>
        <v>14122.8</v>
      </c>
      <c r="BD126" s="84">
        <f t="shared" si="161"/>
        <v>14336.3</v>
      </c>
      <c r="BE126" s="84">
        <f t="shared" si="161"/>
        <v>14302.100000000002</v>
      </c>
      <c r="BF126" s="85">
        <f t="shared" si="161"/>
        <v>14302.100000000002</v>
      </c>
      <c r="BG126" s="87">
        <f t="shared" si="161"/>
        <v>14842.399999999998</v>
      </c>
      <c r="BH126" s="87">
        <f t="shared" si="161"/>
        <v>14657.400000000001</v>
      </c>
      <c r="BI126" s="84">
        <f>+BI124+BI114</f>
        <v>14980.5</v>
      </c>
      <c r="BJ126" s="84">
        <f t="shared" si="161"/>
        <v>15144.5</v>
      </c>
      <c r="BK126" s="85">
        <f t="shared" si="161"/>
        <v>15144.5</v>
      </c>
      <c r="BL126" s="84">
        <f t="shared" si="161"/>
        <v>15247.3</v>
      </c>
      <c r="BM126" s="87">
        <f t="shared" si="161"/>
        <v>15673.4</v>
      </c>
      <c r="BN126" s="557">
        <f>+BN124+BN114</f>
        <v>16156.600000000002</v>
      </c>
      <c r="BO126" s="84">
        <f t="shared" si="161"/>
        <v>16965</v>
      </c>
      <c r="BP126" s="85">
        <f t="shared" ref="BP126:BX126" si="162">+BP124+BP114</f>
        <v>16965</v>
      </c>
      <c r="BQ126" s="84">
        <f>+BQ124+BQ114</f>
        <v>17630</v>
      </c>
      <c r="BR126" s="84">
        <f t="shared" si="162"/>
        <v>17717.400000000001</v>
      </c>
      <c r="BS126" s="84">
        <f t="shared" si="162"/>
        <v>18320.099999999999</v>
      </c>
      <c r="BT126" s="84">
        <f t="shared" si="162"/>
        <v>18602.400000000001</v>
      </c>
      <c r="BU126" s="85">
        <f t="shared" si="162"/>
        <v>18602.400000000001</v>
      </c>
      <c r="BV126" s="84">
        <f t="shared" si="162"/>
        <v>18959.400000000001</v>
      </c>
      <c r="BW126" s="84">
        <f t="shared" si="162"/>
        <v>19418.400000000001</v>
      </c>
      <c r="BX126" s="84">
        <f t="shared" si="162"/>
        <v>20107.099999999999</v>
      </c>
      <c r="BY126" s="84">
        <f t="shared" ref="BY126:CY126" si="163">+BY124+BY114</f>
        <v>20538.700000000004</v>
      </c>
      <c r="BZ126" s="85">
        <f t="shared" si="163"/>
        <v>20538.700000000004</v>
      </c>
      <c r="CA126" s="84">
        <f t="shared" ca="1" si="163"/>
        <v>20719.700123816965</v>
      </c>
      <c r="CB126" s="84">
        <f t="shared" ca="1" si="163"/>
        <v>21060.839902036711</v>
      </c>
      <c r="CC126" s="84">
        <f t="shared" ca="1" si="163"/>
        <v>21447.868761791433</v>
      </c>
      <c r="CD126" s="84">
        <f t="shared" ca="1" si="163"/>
        <v>21545.437974927496</v>
      </c>
      <c r="CE126" s="85">
        <f t="shared" ca="1" si="163"/>
        <v>21545.437974927496</v>
      </c>
      <c r="CF126" s="84">
        <f t="shared" ca="1" si="163"/>
        <v>21621.691198980989</v>
      </c>
      <c r="CG126" s="84">
        <f t="shared" ca="1" si="163"/>
        <v>21886.428427299103</v>
      </c>
      <c r="CH126" s="84">
        <f t="shared" ca="1" si="163"/>
        <v>22200.367814090387</v>
      </c>
      <c r="CI126" s="84">
        <f t="shared" ca="1" si="163"/>
        <v>22229.370567252936</v>
      </c>
      <c r="CJ126" s="85">
        <f t="shared" ca="1" si="163"/>
        <v>22229.370567252936</v>
      </c>
      <c r="CK126" s="84">
        <f t="shared" ca="1" si="163"/>
        <v>22194.738464512455</v>
      </c>
      <c r="CL126" s="84">
        <f t="shared" ca="1" si="163"/>
        <v>22355.16301722424</v>
      </c>
      <c r="CM126" s="84">
        <f t="shared" ca="1" si="163"/>
        <v>22576.056612085624</v>
      </c>
      <c r="CN126" s="84">
        <f t="shared" ca="1" si="163"/>
        <v>22510.821542085614</v>
      </c>
      <c r="CO126" s="85">
        <f t="shared" ca="1" si="163"/>
        <v>22510.821542085614</v>
      </c>
      <c r="CP126" s="84">
        <f t="shared" ca="1" si="163"/>
        <v>22441.146417845281</v>
      </c>
      <c r="CQ126" s="84">
        <f t="shared" ca="1" si="163"/>
        <v>22540.258883942501</v>
      </c>
      <c r="CR126" s="84">
        <f t="shared" ca="1" si="163"/>
        <v>22703.593555778883</v>
      </c>
      <c r="CS126" s="84">
        <f t="shared" ca="1" si="163"/>
        <v>22581.151035481962</v>
      </c>
      <c r="CT126" s="85">
        <f t="shared" ca="1" si="163"/>
        <v>22581.151035481962</v>
      </c>
      <c r="CU126" s="84">
        <f t="shared" ca="1" si="163"/>
        <v>22508.770576919771</v>
      </c>
      <c r="CV126" s="84">
        <f t="shared" ca="1" si="163"/>
        <v>22619.129766155776</v>
      </c>
      <c r="CW126" s="84">
        <f t="shared" ca="1" si="163"/>
        <v>22786.804357737841</v>
      </c>
      <c r="CX126" s="84">
        <f t="shared" ca="1" si="163"/>
        <v>22666.131516289926</v>
      </c>
      <c r="CY126" s="85">
        <f t="shared" ca="1" si="163"/>
        <v>22666.131516289926</v>
      </c>
      <c r="CZ126" s="86"/>
      <c r="DA126" s="7"/>
      <c r="DB126" s="738"/>
      <c r="DC126" s="797"/>
      <c r="DD126" s="7"/>
      <c r="DE126" s="734"/>
      <c r="DF126" s="7"/>
      <c r="DG126" s="738"/>
      <c r="DH126" s="738"/>
      <c r="DI126" s="733"/>
      <c r="DJ126" s="733"/>
      <c r="DK126" s="733"/>
      <c r="DL126" s="733"/>
      <c r="DM126" s="733"/>
      <c r="DN126" s="733"/>
      <c r="DU126" s="78"/>
      <c r="DV126" s="78"/>
      <c r="DW126" s="733"/>
      <c r="DX126" s="733"/>
      <c r="DY126" s="733"/>
      <c r="DZ126" s="733"/>
      <c r="EA126" s="733"/>
    </row>
    <row r="127" spans="1:131" x14ac:dyDescent="0.2">
      <c r="A127" s="78"/>
      <c r="B127" s="78"/>
      <c r="C127" s="78"/>
      <c r="D127" s="87"/>
      <c r="E127" s="87"/>
      <c r="F127" s="87"/>
      <c r="G127" s="87"/>
      <c r="H127" s="85"/>
      <c r="I127" s="87"/>
      <c r="J127" s="87"/>
      <c r="K127" s="87"/>
      <c r="L127" s="84"/>
      <c r="M127" s="85"/>
      <c r="N127" s="84"/>
      <c r="O127" s="84"/>
      <c r="P127" s="84"/>
      <c r="Q127" s="84"/>
      <c r="R127" s="85"/>
      <c r="S127" s="84"/>
      <c r="T127" s="84"/>
      <c r="U127" s="84"/>
      <c r="V127" s="84"/>
      <c r="W127" s="85"/>
      <c r="X127" s="84"/>
      <c r="Y127" s="84"/>
      <c r="Z127" s="84"/>
      <c r="AA127" s="87"/>
      <c r="AB127" s="85"/>
      <c r="AC127" s="84"/>
      <c r="AD127" s="84"/>
      <c r="AE127" s="84"/>
      <c r="AF127" s="87"/>
      <c r="AG127" s="85"/>
      <c r="AH127" s="87"/>
      <c r="AI127" s="84"/>
      <c r="AJ127" s="84"/>
      <c r="AK127" s="84"/>
      <c r="AL127" s="85"/>
      <c r="AM127" s="84"/>
      <c r="AN127" s="84"/>
      <c r="AO127" s="84"/>
      <c r="AP127" s="84"/>
      <c r="AQ127" s="85"/>
      <c r="AR127" s="84"/>
      <c r="AS127" s="84"/>
      <c r="AT127" s="86"/>
      <c r="AU127" s="84"/>
      <c r="AV127" s="85"/>
      <c r="AW127" s="84"/>
      <c r="AX127" s="84"/>
      <c r="AY127" s="84"/>
      <c r="AZ127" s="84"/>
      <c r="BA127" s="85"/>
      <c r="BB127" s="84"/>
      <c r="BC127" s="84"/>
      <c r="BD127" s="84"/>
      <c r="BE127" s="84"/>
      <c r="BF127" s="85"/>
      <c r="BG127" s="84"/>
      <c r="BH127" s="84"/>
      <c r="BI127" s="84"/>
      <c r="BJ127" s="84"/>
      <c r="BK127" s="85"/>
      <c r="BL127" s="84"/>
      <c r="BM127" s="84"/>
      <c r="BN127" s="84"/>
      <c r="BO127" s="84"/>
      <c r="BP127" s="85"/>
      <c r="BQ127" s="84"/>
      <c r="BR127" s="84"/>
      <c r="BS127" s="84"/>
      <c r="BT127" s="84"/>
      <c r="BU127" s="85"/>
      <c r="BV127" s="84"/>
      <c r="BW127" s="84"/>
      <c r="BX127" s="84"/>
      <c r="BY127" s="84"/>
      <c r="BZ127" s="85"/>
      <c r="CA127" s="84"/>
      <c r="CB127" s="84"/>
      <c r="CC127" s="84"/>
      <c r="CD127" s="84"/>
      <c r="CE127" s="85"/>
      <c r="CF127" s="84"/>
      <c r="CG127" s="84"/>
      <c r="CH127" s="84"/>
      <c r="CI127" s="84"/>
      <c r="CJ127" s="85"/>
      <c r="CK127" s="84"/>
      <c r="CL127" s="84"/>
      <c r="CM127" s="84"/>
      <c r="CN127" s="84"/>
      <c r="CO127" s="85"/>
      <c r="CP127" s="84"/>
      <c r="CQ127" s="84"/>
      <c r="CR127" s="84"/>
      <c r="CS127" s="84"/>
      <c r="CT127" s="85"/>
      <c r="CU127" s="84"/>
      <c r="CV127" s="84"/>
      <c r="CW127" s="84"/>
      <c r="CX127" s="84"/>
      <c r="CY127" s="85"/>
      <c r="CZ127" s="86"/>
      <c r="DA127" s="733"/>
      <c r="DB127" s="738"/>
      <c r="DC127" s="797"/>
      <c r="DD127" s="733"/>
      <c r="DE127" s="734"/>
      <c r="DF127" s="733"/>
      <c r="DG127" s="738"/>
      <c r="DH127" s="738"/>
      <c r="DI127" s="733"/>
      <c r="DJ127" s="733"/>
      <c r="DK127" s="733"/>
      <c r="DL127" s="733"/>
      <c r="DM127" s="733"/>
      <c r="DN127" s="733"/>
      <c r="DU127" s="78"/>
      <c r="DV127" s="78"/>
      <c r="DW127" s="733"/>
      <c r="DX127" s="733"/>
      <c r="DY127" s="733"/>
      <c r="DZ127" s="733"/>
      <c r="EA127" s="733"/>
    </row>
    <row r="128" spans="1:131" x14ac:dyDescent="0.2">
      <c r="A128" s="125" t="s">
        <v>139</v>
      </c>
      <c r="B128" s="125"/>
      <c r="C128" s="125"/>
      <c r="D128" s="212">
        <f t="shared" ref="D128:AI128" si="164">D102-D126</f>
        <v>0</v>
      </c>
      <c r="E128" s="212">
        <f t="shared" si="164"/>
        <v>0</v>
      </c>
      <c r="F128" s="212">
        <f t="shared" si="164"/>
        <v>0</v>
      </c>
      <c r="G128" s="212">
        <f t="shared" si="164"/>
        <v>0</v>
      </c>
      <c r="H128" s="213">
        <f t="shared" si="164"/>
        <v>0</v>
      </c>
      <c r="I128" s="212">
        <f t="shared" si="164"/>
        <v>0</v>
      </c>
      <c r="J128" s="212">
        <f t="shared" si="164"/>
        <v>0</v>
      </c>
      <c r="K128" s="214">
        <f t="shared" si="164"/>
        <v>0</v>
      </c>
      <c r="L128" s="214">
        <f t="shared" si="164"/>
        <v>0</v>
      </c>
      <c r="M128" s="213">
        <f t="shared" si="164"/>
        <v>0</v>
      </c>
      <c r="N128" s="214">
        <f t="shared" si="164"/>
        <v>0</v>
      </c>
      <c r="O128" s="214">
        <f t="shared" si="164"/>
        <v>0</v>
      </c>
      <c r="P128" s="214">
        <f t="shared" si="164"/>
        <v>0</v>
      </c>
      <c r="Q128" s="214">
        <f t="shared" si="164"/>
        <v>2.0000000004074536E-3</v>
      </c>
      <c r="R128" s="213">
        <f t="shared" si="164"/>
        <v>2.0000000004074536E-3</v>
      </c>
      <c r="S128" s="214">
        <f t="shared" si="164"/>
        <v>0</v>
      </c>
      <c r="T128" s="214">
        <f t="shared" si="164"/>
        <v>0</v>
      </c>
      <c r="U128" s="214">
        <f t="shared" si="164"/>
        <v>0</v>
      </c>
      <c r="V128" s="214">
        <f t="shared" si="164"/>
        <v>0</v>
      </c>
      <c r="W128" s="213">
        <f t="shared" si="164"/>
        <v>0</v>
      </c>
      <c r="X128" s="214">
        <f t="shared" si="164"/>
        <v>0</v>
      </c>
      <c r="Y128" s="214">
        <f t="shared" si="164"/>
        <v>0</v>
      </c>
      <c r="Z128" s="214">
        <f t="shared" si="164"/>
        <v>0</v>
      </c>
      <c r="AA128" s="212">
        <f t="shared" si="164"/>
        <v>0</v>
      </c>
      <c r="AB128" s="213">
        <f t="shared" si="164"/>
        <v>0</v>
      </c>
      <c r="AC128" s="214">
        <f t="shared" si="164"/>
        <v>0</v>
      </c>
      <c r="AD128" s="214">
        <f t="shared" si="164"/>
        <v>0</v>
      </c>
      <c r="AE128" s="214">
        <f t="shared" si="164"/>
        <v>0</v>
      </c>
      <c r="AF128" s="212">
        <f t="shared" si="164"/>
        <v>0</v>
      </c>
      <c r="AG128" s="213">
        <f t="shared" si="164"/>
        <v>0</v>
      </c>
      <c r="AH128" s="212">
        <f t="shared" si="164"/>
        <v>0</v>
      </c>
      <c r="AI128" s="214">
        <f t="shared" si="164"/>
        <v>0</v>
      </c>
      <c r="AJ128" s="214">
        <f t="shared" ref="AJ128:BO128" si="165">AJ102-AJ126</f>
        <v>0</v>
      </c>
      <c r="AK128" s="214">
        <f t="shared" si="165"/>
        <v>0</v>
      </c>
      <c r="AL128" s="213">
        <f t="shared" si="165"/>
        <v>0</v>
      </c>
      <c r="AM128" s="214">
        <f t="shared" si="165"/>
        <v>0</v>
      </c>
      <c r="AN128" s="214">
        <f t="shared" si="165"/>
        <v>0</v>
      </c>
      <c r="AO128" s="214">
        <f t="shared" si="165"/>
        <v>0</v>
      </c>
      <c r="AP128" s="214">
        <f t="shared" si="165"/>
        <v>0</v>
      </c>
      <c r="AQ128" s="213">
        <f t="shared" si="165"/>
        <v>0</v>
      </c>
      <c r="AR128" s="214">
        <f t="shared" si="165"/>
        <v>0</v>
      </c>
      <c r="AS128" s="214">
        <f t="shared" si="165"/>
        <v>0</v>
      </c>
      <c r="AT128" s="215">
        <f t="shared" si="165"/>
        <v>0</v>
      </c>
      <c r="AU128" s="214">
        <f t="shared" si="165"/>
        <v>0</v>
      </c>
      <c r="AV128" s="213">
        <f t="shared" si="165"/>
        <v>0</v>
      </c>
      <c r="AW128" s="214">
        <f t="shared" si="165"/>
        <v>0</v>
      </c>
      <c r="AX128" s="214">
        <f t="shared" si="165"/>
        <v>0</v>
      </c>
      <c r="AY128" s="214">
        <f t="shared" si="165"/>
        <v>0</v>
      </c>
      <c r="AZ128" s="214">
        <f t="shared" si="165"/>
        <v>0</v>
      </c>
      <c r="BA128" s="213">
        <f t="shared" si="165"/>
        <v>0</v>
      </c>
      <c r="BB128" s="214">
        <f t="shared" si="165"/>
        <v>0</v>
      </c>
      <c r="BC128" s="214">
        <f t="shared" si="165"/>
        <v>0</v>
      </c>
      <c r="BD128" s="214">
        <f t="shared" si="165"/>
        <v>0</v>
      </c>
      <c r="BE128" s="214">
        <f t="shared" si="165"/>
        <v>0</v>
      </c>
      <c r="BF128" s="213">
        <f t="shared" si="165"/>
        <v>0</v>
      </c>
      <c r="BG128" s="214">
        <f t="shared" si="165"/>
        <v>0</v>
      </c>
      <c r="BH128" s="214">
        <f t="shared" si="165"/>
        <v>0</v>
      </c>
      <c r="BI128" s="214">
        <f t="shared" si="165"/>
        <v>0</v>
      </c>
      <c r="BJ128" s="214">
        <f t="shared" si="165"/>
        <v>0</v>
      </c>
      <c r="BK128" s="213">
        <f t="shared" si="165"/>
        <v>0</v>
      </c>
      <c r="BL128" s="214">
        <f>BL102-BL126</f>
        <v>0</v>
      </c>
      <c r="BM128" s="214">
        <f t="shared" si="165"/>
        <v>0</v>
      </c>
      <c r="BN128" s="214">
        <f t="shared" si="165"/>
        <v>0</v>
      </c>
      <c r="BO128" s="214">
        <f t="shared" si="165"/>
        <v>0</v>
      </c>
      <c r="BP128" s="213">
        <f t="shared" ref="BP128:BX128" si="166">BP102-BP126</f>
        <v>0</v>
      </c>
      <c r="BQ128" s="214">
        <f t="shared" si="166"/>
        <v>0</v>
      </c>
      <c r="BR128" s="214">
        <f t="shared" si="166"/>
        <v>0</v>
      </c>
      <c r="BS128" s="214">
        <f t="shared" si="166"/>
        <v>0</v>
      </c>
      <c r="BT128" s="214">
        <f t="shared" si="166"/>
        <v>0</v>
      </c>
      <c r="BU128" s="213">
        <f t="shared" si="166"/>
        <v>0</v>
      </c>
      <c r="BV128" s="214">
        <f t="shared" si="166"/>
        <v>0</v>
      </c>
      <c r="BW128" s="214">
        <f>BW102-BW126</f>
        <v>0</v>
      </c>
      <c r="BX128" s="214">
        <f t="shared" si="166"/>
        <v>0</v>
      </c>
      <c r="BY128" s="214">
        <f>BY102-BY126</f>
        <v>0</v>
      </c>
      <c r="BZ128" s="213">
        <f t="shared" ref="BZ128:CY128" si="167">BZ102-BZ126</f>
        <v>0</v>
      </c>
      <c r="CA128" s="214">
        <f t="shared" ca="1" si="167"/>
        <v>0</v>
      </c>
      <c r="CB128" s="214">
        <f t="shared" ca="1" si="167"/>
        <v>0</v>
      </c>
      <c r="CC128" s="214">
        <f t="shared" ca="1" si="167"/>
        <v>0</v>
      </c>
      <c r="CD128" s="214">
        <f t="shared" ca="1" si="167"/>
        <v>0</v>
      </c>
      <c r="CE128" s="213">
        <f t="shared" ca="1" si="167"/>
        <v>0</v>
      </c>
      <c r="CF128" s="214">
        <f t="shared" ca="1" si="167"/>
        <v>0</v>
      </c>
      <c r="CG128" s="214">
        <f t="shared" ca="1" si="167"/>
        <v>0</v>
      </c>
      <c r="CH128" s="214">
        <f t="shared" ca="1" si="167"/>
        <v>0</v>
      </c>
      <c r="CI128" s="214">
        <f t="shared" ca="1" si="167"/>
        <v>0</v>
      </c>
      <c r="CJ128" s="213">
        <f t="shared" ca="1" si="167"/>
        <v>0</v>
      </c>
      <c r="CK128" s="214">
        <f t="shared" ca="1" si="167"/>
        <v>0</v>
      </c>
      <c r="CL128" s="214">
        <f t="shared" ca="1" si="167"/>
        <v>0</v>
      </c>
      <c r="CM128" s="214">
        <f t="shared" ca="1" si="167"/>
        <v>0</v>
      </c>
      <c r="CN128" s="214">
        <f t="shared" ca="1" si="167"/>
        <v>0</v>
      </c>
      <c r="CO128" s="213">
        <f t="shared" ca="1" si="167"/>
        <v>0</v>
      </c>
      <c r="CP128" s="214">
        <f t="shared" ca="1" si="167"/>
        <v>0</v>
      </c>
      <c r="CQ128" s="214">
        <f t="shared" ca="1" si="167"/>
        <v>0</v>
      </c>
      <c r="CR128" s="214">
        <f t="shared" ca="1" si="167"/>
        <v>0</v>
      </c>
      <c r="CS128" s="214">
        <f t="shared" ca="1" si="167"/>
        <v>0</v>
      </c>
      <c r="CT128" s="213">
        <f t="shared" ca="1" si="167"/>
        <v>0</v>
      </c>
      <c r="CU128" s="214">
        <f t="shared" ca="1" si="167"/>
        <v>0</v>
      </c>
      <c r="CV128" s="214">
        <f t="shared" ca="1" si="167"/>
        <v>0</v>
      </c>
      <c r="CW128" s="214">
        <f t="shared" ca="1" si="167"/>
        <v>0</v>
      </c>
      <c r="CX128" s="214">
        <f t="shared" ca="1" si="167"/>
        <v>0</v>
      </c>
      <c r="CY128" s="213">
        <f t="shared" ca="1" si="167"/>
        <v>0</v>
      </c>
      <c r="CZ128" s="215"/>
      <c r="DA128" s="794"/>
      <c r="DB128" s="829"/>
      <c r="DC128" s="830"/>
      <c r="DD128" s="794"/>
      <c r="DE128" s="800"/>
      <c r="DF128" s="794"/>
      <c r="DG128" s="831"/>
      <c r="DH128" s="829"/>
      <c r="DI128" s="794"/>
      <c r="DJ128" s="794"/>
      <c r="DK128" s="794"/>
      <c r="DL128" s="794"/>
      <c r="DM128" s="794"/>
      <c r="DN128" s="794"/>
      <c r="DU128" s="125"/>
      <c r="DV128" s="125"/>
      <c r="DW128" s="794"/>
      <c r="DX128" s="794"/>
      <c r="DY128" s="794"/>
      <c r="DZ128" s="794"/>
      <c r="EA128" s="794"/>
    </row>
    <row r="129" spans="1:131" x14ac:dyDescent="0.2">
      <c r="A129" s="48"/>
      <c r="B129" s="48"/>
      <c r="C129" s="48"/>
      <c r="D129" s="63"/>
      <c r="E129" s="63"/>
      <c r="F129" s="56"/>
      <c r="G129" s="56"/>
      <c r="H129" s="101"/>
      <c r="I129" s="56"/>
      <c r="J129" s="56"/>
      <c r="K129" s="56"/>
      <c r="L129" s="56"/>
      <c r="M129" s="101"/>
      <c r="N129" s="56"/>
      <c r="O129" s="56"/>
      <c r="P129" s="56"/>
      <c r="Q129" s="56"/>
      <c r="R129" s="101"/>
      <c r="S129" s="56"/>
      <c r="T129" s="56"/>
      <c r="U129" s="56"/>
      <c r="V129" s="56"/>
      <c r="W129" s="101"/>
      <c r="X129" s="56"/>
      <c r="Y129" s="56"/>
      <c r="Z129" s="56"/>
      <c r="AA129" s="56"/>
      <c r="AB129" s="101"/>
      <c r="AC129" s="56"/>
      <c r="AD129" s="56"/>
      <c r="AE129" s="56"/>
      <c r="AF129" s="56"/>
      <c r="AG129" s="101"/>
      <c r="AH129" s="56"/>
      <c r="AI129" s="56"/>
      <c r="AJ129" s="56"/>
      <c r="AK129" s="56"/>
      <c r="AL129" s="101"/>
      <c r="AM129" s="56"/>
      <c r="AN129" s="56"/>
      <c r="AO129" s="56"/>
      <c r="AP129" s="56"/>
      <c r="AQ129" s="101"/>
      <c r="AR129" s="56"/>
      <c r="AS129" s="56"/>
      <c r="AT129" s="103"/>
      <c r="AU129" s="56"/>
      <c r="AV129" s="101"/>
      <c r="AW129" s="56"/>
      <c r="AX129" s="56"/>
      <c r="AY129" s="56"/>
      <c r="AZ129" s="56"/>
      <c r="BA129" s="101"/>
      <c r="BB129" s="56"/>
      <c r="BC129" s="56"/>
      <c r="BD129" s="56"/>
      <c r="BE129" s="56"/>
      <c r="BF129" s="101"/>
      <c r="BG129" s="56"/>
      <c r="BH129" s="56"/>
      <c r="BI129" s="56"/>
      <c r="BJ129" s="56"/>
      <c r="BK129" s="101"/>
      <c r="BL129" s="56"/>
      <c r="BM129" s="56"/>
      <c r="BN129" s="56"/>
      <c r="BO129" s="56"/>
      <c r="BP129" s="101"/>
      <c r="BQ129" s="56"/>
      <c r="BR129" s="56"/>
      <c r="BS129" s="56"/>
      <c r="BT129" s="56"/>
      <c r="BU129" s="101"/>
      <c r="BV129" s="56"/>
      <c r="BW129" s="56"/>
      <c r="BX129" s="56"/>
      <c r="BY129" s="56"/>
      <c r="BZ129" s="101"/>
      <c r="CA129" s="56"/>
      <c r="CB129" s="56"/>
      <c r="CC129" s="56"/>
      <c r="CD129" s="56"/>
      <c r="CE129" s="101"/>
      <c r="CF129" s="56"/>
      <c r="CG129" s="56"/>
      <c r="CH129" s="56"/>
      <c r="CI129" s="56"/>
      <c r="CJ129" s="101"/>
      <c r="CK129" s="56"/>
      <c r="CL129" s="56"/>
      <c r="CM129" s="56"/>
      <c r="CN129" s="56"/>
      <c r="CO129" s="101"/>
      <c r="CP129" s="56"/>
      <c r="CQ129" s="56"/>
      <c r="CR129" s="56"/>
      <c r="CS129" s="56"/>
      <c r="CT129" s="101"/>
      <c r="CU129" s="56"/>
      <c r="CV129" s="56"/>
      <c r="CW129" s="56"/>
      <c r="CX129" s="56"/>
      <c r="CY129" s="101"/>
      <c r="CZ129" s="103"/>
      <c r="DA129" s="730"/>
      <c r="DB129" s="9"/>
      <c r="DC129" s="832"/>
      <c r="DD129" s="730"/>
      <c r="DF129" s="730"/>
      <c r="DG129" s="732"/>
      <c r="DH129" s="9"/>
      <c r="DI129" s="730"/>
      <c r="DJ129" s="730"/>
      <c r="DK129" s="730"/>
      <c r="DL129" s="730"/>
      <c r="DM129" s="730"/>
      <c r="DN129" s="730"/>
      <c r="DU129" s="48"/>
      <c r="DV129" s="48"/>
      <c r="DW129" s="730"/>
      <c r="DX129" s="730"/>
      <c r="DY129" s="730"/>
      <c r="DZ129" s="730"/>
      <c r="EA129" s="730"/>
    </row>
    <row r="130" spans="1:131" x14ac:dyDescent="0.2">
      <c r="A130" s="80" t="s">
        <v>140</v>
      </c>
      <c r="B130" s="80"/>
      <c r="C130" s="80"/>
      <c r="D130" s="82">
        <f t="shared" ref="D130:AI130" si="168">D4</f>
        <v>37771</v>
      </c>
      <c r="E130" s="82">
        <f t="shared" si="168"/>
        <v>37861</v>
      </c>
      <c r="F130" s="82">
        <f t="shared" si="168"/>
        <v>37951</v>
      </c>
      <c r="G130" s="82">
        <f t="shared" si="168"/>
        <v>38041</v>
      </c>
      <c r="H130" s="81" t="str">
        <f t="shared" si="168"/>
        <v>FY2004</v>
      </c>
      <c r="I130" s="82">
        <f t="shared" si="168"/>
        <v>38131</v>
      </c>
      <c r="J130" s="82">
        <f t="shared" si="168"/>
        <v>38221</v>
      </c>
      <c r="K130" s="82">
        <f t="shared" si="168"/>
        <v>38311</v>
      </c>
      <c r="L130" s="82">
        <f t="shared" si="168"/>
        <v>38401</v>
      </c>
      <c r="M130" s="81" t="str">
        <f t="shared" si="168"/>
        <v>FY2005</v>
      </c>
      <c r="N130" s="82">
        <f t="shared" si="168"/>
        <v>38491</v>
      </c>
      <c r="O130" s="82">
        <f t="shared" si="168"/>
        <v>38581</v>
      </c>
      <c r="P130" s="82">
        <f t="shared" si="168"/>
        <v>38671</v>
      </c>
      <c r="Q130" s="82">
        <f t="shared" si="168"/>
        <v>38761</v>
      </c>
      <c r="R130" s="81" t="str">
        <f t="shared" si="168"/>
        <v>FY2006</v>
      </c>
      <c r="S130" s="82">
        <f t="shared" si="168"/>
        <v>38851</v>
      </c>
      <c r="T130" s="82">
        <f t="shared" si="168"/>
        <v>38941</v>
      </c>
      <c r="U130" s="82">
        <f t="shared" si="168"/>
        <v>39031</v>
      </c>
      <c r="V130" s="82">
        <f t="shared" si="168"/>
        <v>39121</v>
      </c>
      <c r="W130" s="81" t="str">
        <f t="shared" si="168"/>
        <v>FY2007</v>
      </c>
      <c r="X130" s="82">
        <f t="shared" si="168"/>
        <v>39211</v>
      </c>
      <c r="Y130" s="82">
        <f t="shared" si="168"/>
        <v>39301</v>
      </c>
      <c r="Z130" s="82">
        <f t="shared" si="168"/>
        <v>39391</v>
      </c>
      <c r="AA130" s="82">
        <f t="shared" si="168"/>
        <v>39481</v>
      </c>
      <c r="AB130" s="81" t="str">
        <f t="shared" si="168"/>
        <v>FY2008</v>
      </c>
      <c r="AC130" s="82">
        <f t="shared" si="168"/>
        <v>39571</v>
      </c>
      <c r="AD130" s="82">
        <f t="shared" si="168"/>
        <v>39661</v>
      </c>
      <c r="AE130" s="82">
        <f t="shared" si="168"/>
        <v>39781</v>
      </c>
      <c r="AF130" s="82">
        <f t="shared" si="168"/>
        <v>39871</v>
      </c>
      <c r="AG130" s="81" t="str">
        <f t="shared" si="168"/>
        <v>FY2009</v>
      </c>
      <c r="AH130" s="82">
        <f t="shared" si="168"/>
        <v>39961</v>
      </c>
      <c r="AI130" s="82">
        <f t="shared" si="168"/>
        <v>40051</v>
      </c>
      <c r="AJ130" s="82">
        <f t="shared" ref="AJ130:BO130" si="169">AJ4</f>
        <v>40141</v>
      </c>
      <c r="AK130" s="82">
        <f t="shared" si="169"/>
        <v>40219</v>
      </c>
      <c r="AL130" s="81" t="str">
        <f t="shared" si="169"/>
        <v>FY2010</v>
      </c>
      <c r="AM130" s="82">
        <f t="shared" si="169"/>
        <v>40309</v>
      </c>
      <c r="AN130" s="82">
        <f t="shared" si="169"/>
        <v>40399</v>
      </c>
      <c r="AO130" s="82">
        <f t="shared" si="169"/>
        <v>40489</v>
      </c>
      <c r="AP130" s="82">
        <f t="shared" si="169"/>
        <v>40585</v>
      </c>
      <c r="AQ130" s="81" t="str">
        <f t="shared" si="169"/>
        <v>FY2011</v>
      </c>
      <c r="AR130" s="82">
        <f t="shared" si="169"/>
        <v>40674</v>
      </c>
      <c r="AS130" s="82">
        <f t="shared" si="169"/>
        <v>40766</v>
      </c>
      <c r="AT130" s="201">
        <f t="shared" si="169"/>
        <v>40858</v>
      </c>
      <c r="AU130" s="82">
        <f t="shared" si="169"/>
        <v>40951</v>
      </c>
      <c r="AV130" s="81" t="str">
        <f t="shared" si="169"/>
        <v>FY2012</v>
      </c>
      <c r="AW130" s="82">
        <f t="shared" si="169"/>
        <v>41041</v>
      </c>
      <c r="AX130" s="82">
        <f t="shared" si="169"/>
        <v>41133</v>
      </c>
      <c r="AY130" s="82">
        <f t="shared" si="169"/>
        <v>41225</v>
      </c>
      <c r="AZ130" s="82">
        <f t="shared" si="169"/>
        <v>41318</v>
      </c>
      <c r="BA130" s="81" t="str">
        <f t="shared" si="169"/>
        <v>FY2013</v>
      </c>
      <c r="BB130" s="82">
        <f t="shared" si="169"/>
        <v>41407</v>
      </c>
      <c r="BC130" s="82">
        <f t="shared" si="169"/>
        <v>41499</v>
      </c>
      <c r="BD130" s="82">
        <f t="shared" si="169"/>
        <v>41591</v>
      </c>
      <c r="BE130" s="82">
        <f t="shared" si="169"/>
        <v>41684</v>
      </c>
      <c r="BF130" s="81" t="str">
        <f t="shared" si="169"/>
        <v>FY2014</v>
      </c>
      <c r="BG130" s="82">
        <f t="shared" si="169"/>
        <v>41773</v>
      </c>
      <c r="BH130" s="82">
        <f t="shared" si="169"/>
        <v>41865</v>
      </c>
      <c r="BI130" s="82">
        <f t="shared" si="169"/>
        <v>41957</v>
      </c>
      <c r="BJ130" s="82">
        <f t="shared" si="169"/>
        <v>42050</v>
      </c>
      <c r="BK130" s="81" t="str">
        <f t="shared" si="169"/>
        <v>FY2015</v>
      </c>
      <c r="BL130" s="82">
        <f t="shared" si="169"/>
        <v>42139</v>
      </c>
      <c r="BM130" s="82">
        <f t="shared" si="169"/>
        <v>42231</v>
      </c>
      <c r="BN130" s="82">
        <f t="shared" si="169"/>
        <v>42323</v>
      </c>
      <c r="BO130" s="82">
        <f t="shared" si="169"/>
        <v>42416</v>
      </c>
      <c r="BP130" s="81" t="str">
        <f t="shared" ref="BP130:CY130" si="170">BP4</f>
        <v>FY2016</v>
      </c>
      <c r="BQ130" s="82">
        <f t="shared" si="170"/>
        <v>42506</v>
      </c>
      <c r="BR130" s="82">
        <f t="shared" si="170"/>
        <v>42598</v>
      </c>
      <c r="BS130" s="82">
        <f t="shared" si="170"/>
        <v>42690</v>
      </c>
      <c r="BT130" s="82">
        <f t="shared" si="170"/>
        <v>42783</v>
      </c>
      <c r="BU130" s="81" t="str">
        <f t="shared" si="170"/>
        <v>FY2017</v>
      </c>
      <c r="BV130" s="82">
        <f t="shared" si="170"/>
        <v>42872</v>
      </c>
      <c r="BW130" s="82">
        <f t="shared" si="170"/>
        <v>42964</v>
      </c>
      <c r="BX130" s="82">
        <f t="shared" si="170"/>
        <v>43056</v>
      </c>
      <c r="BY130" s="82">
        <f t="shared" si="170"/>
        <v>43149</v>
      </c>
      <c r="BZ130" s="81" t="str">
        <f t="shared" si="170"/>
        <v>FY2018</v>
      </c>
      <c r="CA130" s="82" t="str">
        <f t="shared" si="170"/>
        <v>May-18 E</v>
      </c>
      <c r="CB130" s="82" t="str">
        <f t="shared" si="170"/>
        <v>Aug-18 E</v>
      </c>
      <c r="CC130" s="82" t="str">
        <f t="shared" si="170"/>
        <v>Nov-18 E</v>
      </c>
      <c r="CD130" s="82" t="str">
        <f t="shared" si="170"/>
        <v>Feb-19 E</v>
      </c>
      <c r="CE130" s="81" t="str">
        <f t="shared" si="170"/>
        <v>FY2019E</v>
      </c>
      <c r="CF130" s="82" t="str">
        <f t="shared" si="170"/>
        <v>May-19 E</v>
      </c>
      <c r="CG130" s="82" t="str">
        <f t="shared" si="170"/>
        <v>Aug-19 E</v>
      </c>
      <c r="CH130" s="82" t="str">
        <f t="shared" si="170"/>
        <v>Nov-19 E</v>
      </c>
      <c r="CI130" s="82" t="str">
        <f t="shared" si="170"/>
        <v>Feb-20 E</v>
      </c>
      <c r="CJ130" s="81" t="str">
        <f t="shared" si="170"/>
        <v>FY2020E</v>
      </c>
      <c r="CK130" s="82" t="str">
        <f t="shared" si="170"/>
        <v>May-20 E</v>
      </c>
      <c r="CL130" s="82" t="str">
        <f t="shared" si="170"/>
        <v>Aug-20 E</v>
      </c>
      <c r="CM130" s="82" t="str">
        <f t="shared" si="170"/>
        <v>Nov-20 E</v>
      </c>
      <c r="CN130" s="82" t="str">
        <f t="shared" si="170"/>
        <v>Feb-21 E</v>
      </c>
      <c r="CO130" s="81" t="str">
        <f t="shared" si="170"/>
        <v>FY2021E</v>
      </c>
      <c r="CP130" s="82" t="str">
        <f t="shared" si="170"/>
        <v>May-21 E</v>
      </c>
      <c r="CQ130" s="82" t="str">
        <f t="shared" si="170"/>
        <v>Aug-21 E</v>
      </c>
      <c r="CR130" s="82" t="str">
        <f t="shared" si="170"/>
        <v>Nov-21 E</v>
      </c>
      <c r="CS130" s="82" t="str">
        <f t="shared" si="170"/>
        <v>Feb-22 E</v>
      </c>
      <c r="CT130" s="81" t="str">
        <f t="shared" si="170"/>
        <v>FY2022E</v>
      </c>
      <c r="CU130" s="82" t="str">
        <f t="shared" si="170"/>
        <v>May-22 E</v>
      </c>
      <c r="CV130" s="82" t="str">
        <f t="shared" si="170"/>
        <v>Aug-22 E</v>
      </c>
      <c r="CW130" s="82" t="str">
        <f t="shared" si="170"/>
        <v>Nov-22 E</v>
      </c>
      <c r="CX130" s="82" t="str">
        <f t="shared" si="170"/>
        <v>Feb-23 E</v>
      </c>
      <c r="CY130" s="81" t="str">
        <f t="shared" si="170"/>
        <v>FY2023E</v>
      </c>
      <c r="CZ130" s="202"/>
      <c r="DA130" s="733"/>
      <c r="DB130" s="376"/>
      <c r="DC130" s="770"/>
      <c r="DD130" s="733"/>
      <c r="DE130" s="734"/>
      <c r="DF130" s="733"/>
      <c r="DG130" s="732"/>
      <c r="DH130" s="9"/>
      <c r="DI130" s="733"/>
      <c r="DJ130" s="733"/>
      <c r="DK130" s="733"/>
      <c r="DL130" s="733"/>
      <c r="DM130" s="733"/>
      <c r="DN130" s="733"/>
      <c r="DU130" s="78"/>
      <c r="DV130" s="78"/>
      <c r="DW130" s="733"/>
      <c r="DX130" s="733"/>
      <c r="DY130" s="733"/>
      <c r="DZ130" s="733"/>
      <c r="EA130" s="733"/>
    </row>
    <row r="131" spans="1:131" x14ac:dyDescent="0.2">
      <c r="A131" s="48"/>
      <c r="B131" s="48"/>
      <c r="C131" s="48"/>
      <c r="D131" s="63"/>
      <c r="E131" s="63"/>
      <c r="F131" s="56"/>
      <c r="G131" s="56"/>
      <c r="H131" s="101"/>
      <c r="I131" s="56"/>
      <c r="J131" s="56"/>
      <c r="K131" s="56"/>
      <c r="L131" s="56"/>
      <c r="M131" s="101"/>
      <c r="N131" s="56"/>
      <c r="O131" s="56"/>
      <c r="P131" s="56"/>
      <c r="Q131" s="56"/>
      <c r="R131" s="101"/>
      <c r="S131" s="56"/>
      <c r="T131" s="56"/>
      <c r="U131" s="56"/>
      <c r="V131" s="56"/>
      <c r="W131" s="101"/>
      <c r="X131" s="56"/>
      <c r="Y131" s="56"/>
      <c r="Z131" s="56"/>
      <c r="AA131" s="56"/>
      <c r="AB131" s="101"/>
      <c r="AC131" s="56"/>
      <c r="AD131" s="56"/>
      <c r="AE131" s="56"/>
      <c r="AF131" s="56"/>
      <c r="AG131" s="101"/>
      <c r="AH131" s="56"/>
      <c r="AI131" s="56"/>
      <c r="AJ131" s="56"/>
      <c r="AK131" s="56"/>
      <c r="AL131" s="101"/>
      <c r="AM131" s="56"/>
      <c r="AN131" s="56"/>
      <c r="AO131" s="56"/>
      <c r="AP131" s="56"/>
      <c r="AQ131" s="101"/>
      <c r="AR131" s="56"/>
      <c r="AS131" s="56"/>
      <c r="AT131" s="103"/>
      <c r="AU131" s="56"/>
      <c r="AV131" s="101"/>
      <c r="AW131" s="56"/>
      <c r="AX131" s="56"/>
      <c r="AY131" s="56"/>
      <c r="AZ131" s="56"/>
      <c r="BA131" s="101"/>
      <c r="BB131" s="56"/>
      <c r="BC131" s="56"/>
      <c r="BD131" s="56"/>
      <c r="BE131" s="56"/>
      <c r="BF131" s="101"/>
      <c r="BG131" s="56"/>
      <c r="BH131" s="56"/>
      <c r="BI131" s="56"/>
      <c r="BJ131" s="56"/>
      <c r="BK131" s="199"/>
      <c r="BL131" s="56"/>
      <c r="BM131" s="56"/>
      <c r="BN131" s="56"/>
      <c r="BO131" s="56"/>
      <c r="BP131" s="101"/>
      <c r="BQ131" s="139"/>
      <c r="BR131" s="56"/>
      <c r="BS131" s="56"/>
      <c r="BT131" s="56"/>
      <c r="BU131" s="101"/>
      <c r="BV131" s="139"/>
      <c r="BW131" s="56"/>
      <c r="BX131" s="56"/>
      <c r="BY131" s="56"/>
      <c r="BZ131" s="101"/>
      <c r="CA131" s="139"/>
      <c r="CB131" s="56"/>
      <c r="CC131" s="56"/>
      <c r="CD131" s="56"/>
      <c r="CE131" s="101"/>
      <c r="CF131" s="88"/>
      <c r="CG131" s="56"/>
      <c r="CH131" s="56"/>
      <c r="CI131" s="56"/>
      <c r="CJ131" s="101"/>
      <c r="CK131" s="139"/>
      <c r="CL131" s="56"/>
      <c r="CM131" s="56"/>
      <c r="CN131" s="56"/>
      <c r="CO131" s="101"/>
      <c r="CP131" s="139"/>
      <c r="CQ131" s="56"/>
      <c r="CR131" s="56"/>
      <c r="CS131" s="56"/>
      <c r="CT131" s="101"/>
      <c r="CU131" s="56"/>
      <c r="CV131" s="56"/>
      <c r="CW131" s="56"/>
      <c r="CX131" s="56"/>
      <c r="CY131" s="101"/>
      <c r="CZ131" s="103"/>
      <c r="DA131" s="833"/>
      <c r="DB131" s="9"/>
      <c r="DC131" s="834"/>
      <c r="DD131" s="730"/>
      <c r="DF131" s="730"/>
      <c r="DG131" s="732"/>
      <c r="DH131" s="9"/>
      <c r="DI131" s="730"/>
      <c r="DJ131" s="730"/>
      <c r="DK131" s="730"/>
      <c r="DL131" s="730"/>
      <c r="DM131" s="730"/>
      <c r="DN131" s="730"/>
      <c r="DU131" s="48"/>
      <c r="DV131" s="48"/>
      <c r="DW131" s="730"/>
      <c r="DX131" s="730"/>
      <c r="DY131" s="730"/>
      <c r="DZ131" s="730"/>
      <c r="EA131" s="730"/>
    </row>
    <row r="132" spans="1:131" x14ac:dyDescent="0.2">
      <c r="A132" s="48" t="s">
        <v>84</v>
      </c>
      <c r="B132" s="48"/>
      <c r="C132" s="48"/>
      <c r="D132" s="119">
        <f t="shared" ref="D132:AI132" si="171">D58</f>
        <v>47.09</v>
      </c>
      <c r="E132" s="119">
        <f t="shared" si="171"/>
        <v>66.370999999999995</v>
      </c>
      <c r="F132" s="119">
        <f t="shared" si="171"/>
        <v>91.244</v>
      </c>
      <c r="G132" s="119">
        <f t="shared" si="171"/>
        <v>61.83</v>
      </c>
      <c r="H132" s="141">
        <f t="shared" si="171"/>
        <v>266.53699999999998</v>
      </c>
      <c r="I132" s="119">
        <f t="shared" si="171"/>
        <v>59.790999999999997</v>
      </c>
      <c r="J132" s="119">
        <f t="shared" si="171"/>
        <v>81.983999999999995</v>
      </c>
      <c r="K132" s="119">
        <f t="shared" si="171"/>
        <v>99.155000000000001</v>
      </c>
      <c r="L132" s="119">
        <f t="shared" si="171"/>
        <v>73.2</v>
      </c>
      <c r="M132" s="141">
        <f t="shared" si="171"/>
        <v>314.10000000000002</v>
      </c>
      <c r="N132" s="119">
        <f t="shared" si="171"/>
        <v>71.234999999999886</v>
      </c>
      <c r="O132" s="119">
        <f t="shared" si="171"/>
        <v>98.05900000000004</v>
      </c>
      <c r="P132" s="119">
        <f t="shared" si="171"/>
        <v>123.60000000000016</v>
      </c>
      <c r="Q132" s="119">
        <f t="shared" si="171"/>
        <v>86.900000000000034</v>
      </c>
      <c r="R132" s="141">
        <f t="shared" si="171"/>
        <v>379.80000000000007</v>
      </c>
      <c r="S132" s="119">
        <f t="shared" si="171"/>
        <v>74.70000000000006</v>
      </c>
      <c r="T132" s="119">
        <f t="shared" si="171"/>
        <v>104.49999999999997</v>
      </c>
      <c r="U132" s="119">
        <f t="shared" si="171"/>
        <v>139.19999999999987</v>
      </c>
      <c r="V132" s="119">
        <f t="shared" si="171"/>
        <v>84.799999999999812</v>
      </c>
      <c r="W132" s="141">
        <f t="shared" si="171"/>
        <v>403.29999999999967</v>
      </c>
      <c r="X132" s="119">
        <f t="shared" si="171"/>
        <v>48.500000000000064</v>
      </c>
      <c r="Y132" s="119">
        <f t="shared" si="171"/>
        <v>77.30000000000004</v>
      </c>
      <c r="Z132" s="119">
        <f t="shared" si="171"/>
        <v>121.39999999999995</v>
      </c>
      <c r="AA132" s="119">
        <f t="shared" si="171"/>
        <v>73.799999999999969</v>
      </c>
      <c r="AB132" s="141">
        <f t="shared" si="171"/>
        <v>320.99999999999983</v>
      </c>
      <c r="AC132" s="119">
        <f t="shared" si="171"/>
        <v>73.600000000000094</v>
      </c>
      <c r="AD132" s="119">
        <f t="shared" si="171"/>
        <v>99.000000000000028</v>
      </c>
      <c r="AE132" s="119">
        <f t="shared" si="171"/>
        <v>132.00000000000003</v>
      </c>
      <c r="AF132" s="119">
        <f t="shared" si="171"/>
        <v>46.700000000000024</v>
      </c>
      <c r="AG132" s="141">
        <f t="shared" si="171"/>
        <v>351.29999999999978</v>
      </c>
      <c r="AH132" s="119">
        <f t="shared" si="171"/>
        <v>72.700000000000017</v>
      </c>
      <c r="AI132" s="119">
        <f t="shared" si="171"/>
        <v>120.00000000000006</v>
      </c>
      <c r="AJ132" s="119">
        <f t="shared" ref="AJ132:BO132" si="172">AJ58</f>
        <v>120.39999999999995</v>
      </c>
      <c r="AK132" s="119">
        <f t="shared" si="172"/>
        <v>34.816000000000017</v>
      </c>
      <c r="AL132" s="141">
        <f t="shared" si="172"/>
        <v>347.916</v>
      </c>
      <c r="AM132" s="119">
        <f t="shared" si="172"/>
        <v>82.933199999999999</v>
      </c>
      <c r="AN132" s="119">
        <f t="shared" si="172"/>
        <v>109.09999999999998</v>
      </c>
      <c r="AO132" s="119">
        <f t="shared" si="172"/>
        <v>141.5</v>
      </c>
      <c r="AP132" s="119">
        <f t="shared" si="172"/>
        <v>74.499999999999986</v>
      </c>
      <c r="AQ132" s="141">
        <f t="shared" si="172"/>
        <v>408.03319999999991</v>
      </c>
      <c r="AR132" s="119">
        <f t="shared" si="172"/>
        <v>84.099999999999952</v>
      </c>
      <c r="AS132" s="119">
        <f t="shared" si="172"/>
        <v>164.8</v>
      </c>
      <c r="AT132" s="142">
        <f t="shared" si="172"/>
        <v>100.80000000000001</v>
      </c>
      <c r="AU132" s="119">
        <f t="shared" si="172"/>
        <v>138.1</v>
      </c>
      <c r="AV132" s="141">
        <f t="shared" si="172"/>
        <v>487.80000000000007</v>
      </c>
      <c r="AW132" s="119">
        <f t="shared" si="172"/>
        <v>75.999999999999972</v>
      </c>
      <c r="AX132" s="119">
        <f t="shared" si="172"/>
        <v>131.00000000000003</v>
      </c>
      <c r="AY132" s="119">
        <f t="shared" si="172"/>
        <v>118.59999999999997</v>
      </c>
      <c r="AZ132" s="119">
        <f t="shared" si="172"/>
        <v>90.299999999999983</v>
      </c>
      <c r="BA132" s="141">
        <f t="shared" si="172"/>
        <v>415.9</v>
      </c>
      <c r="BB132" s="119">
        <f t="shared" si="172"/>
        <v>73.69999999999996</v>
      </c>
      <c r="BC132" s="119">
        <f t="shared" si="172"/>
        <v>188.7</v>
      </c>
      <c r="BD132" s="119">
        <f t="shared" si="172"/>
        <v>217.2</v>
      </c>
      <c r="BE132" s="119">
        <f t="shared" si="172"/>
        <v>162.10000000000014</v>
      </c>
      <c r="BF132" s="141">
        <f t="shared" si="172"/>
        <v>641.70000000000027</v>
      </c>
      <c r="BG132" s="119">
        <f t="shared" si="172"/>
        <v>215.20000000000005</v>
      </c>
      <c r="BH132" s="119">
        <f t="shared" si="172"/>
        <v>221.99999999999977</v>
      </c>
      <c r="BI132" s="119">
        <f t="shared" si="172"/>
        <v>248.30000000000007</v>
      </c>
      <c r="BJ132" s="119">
        <f>BJ58</f>
        <v>207.5</v>
      </c>
      <c r="BK132" s="141">
        <f t="shared" si="172"/>
        <v>893</v>
      </c>
      <c r="BL132" s="119">
        <f>BL58</f>
        <v>256.39999999999992</v>
      </c>
      <c r="BM132" s="62">
        <f>BM58</f>
        <v>317.60000000000019</v>
      </c>
      <c r="BN132" s="119">
        <f>BN58</f>
        <v>289.10000000000002</v>
      </c>
      <c r="BO132" s="119">
        <f t="shared" si="172"/>
        <v>243.40000000000006</v>
      </c>
      <c r="BP132" s="141">
        <f t="shared" ref="BP132:BU132" si="173">BP58</f>
        <v>1106.4999999999995</v>
      </c>
      <c r="BQ132" s="119">
        <f t="shared" si="173"/>
        <v>316.99999999999994</v>
      </c>
      <c r="BR132" s="577">
        <f t="shared" si="173"/>
        <v>364.40000000000003</v>
      </c>
      <c r="BS132" s="119">
        <f t="shared" si="173"/>
        <v>403.29999999999995</v>
      </c>
      <c r="BT132" s="119">
        <f t="shared" si="173"/>
        <v>296.00000000000011</v>
      </c>
      <c r="BU132" s="141">
        <f t="shared" si="173"/>
        <v>1380.7000000000003</v>
      </c>
      <c r="BV132" s="577">
        <f>BV58</f>
        <v>470.49999999999994</v>
      </c>
      <c r="BW132" s="119">
        <f>BW58</f>
        <v>497.10000000000025</v>
      </c>
      <c r="BX132" s="119">
        <f>BX58</f>
        <v>402.59999999999997</v>
      </c>
      <c r="BY132" s="119">
        <f>BY58</f>
        <v>379.40000000000015</v>
      </c>
      <c r="BZ132" s="141">
        <f>BZ58</f>
        <v>1749.6000000000001</v>
      </c>
      <c r="CA132" s="119">
        <f t="shared" ref="CA132:CY132" ca="1" si="174">CA58</f>
        <v>494.32970596783383</v>
      </c>
      <c r="CB132" s="119">
        <f t="shared" ca="1" si="174"/>
        <v>558.6634404877924</v>
      </c>
      <c r="CC132" s="119">
        <f t="shared" ca="1" si="174"/>
        <v>462.80100839483566</v>
      </c>
      <c r="CD132" s="119">
        <f t="shared" ca="1" si="174"/>
        <v>411.59520468209405</v>
      </c>
      <c r="CE132" s="141">
        <f t="shared" ca="1" si="174"/>
        <v>1927.3893595325549</v>
      </c>
      <c r="CF132" s="119">
        <f t="shared" ca="1" si="174"/>
        <v>544.9452108724721</v>
      </c>
      <c r="CG132" s="119">
        <f t="shared" ca="1" si="174"/>
        <v>614.89615960100014</v>
      </c>
      <c r="CH132" s="119">
        <f t="shared" ca="1" si="174"/>
        <v>506.65699037984848</v>
      </c>
      <c r="CI132" s="119">
        <f t="shared" ca="1" si="174"/>
        <v>450.7257313946028</v>
      </c>
      <c r="CJ132" s="141">
        <f t="shared" ca="1" si="174"/>
        <v>2117.2240922479236</v>
      </c>
      <c r="CK132" s="119">
        <f t="shared" ca="1" si="174"/>
        <v>585.0439727469261</v>
      </c>
      <c r="CL132" s="119">
        <f t="shared" ca="1" si="174"/>
        <v>660.73632386703468</v>
      </c>
      <c r="CM132" s="119">
        <f t="shared" ca="1" si="174"/>
        <v>542.95529889698298</v>
      </c>
      <c r="CN132" s="119">
        <f t="shared" ca="1" si="174"/>
        <v>485.41947039073591</v>
      </c>
      <c r="CO132" s="141">
        <f t="shared" ca="1" si="174"/>
        <v>2274.1550659016798</v>
      </c>
      <c r="CP132" s="119">
        <f t="shared" ca="1" si="174"/>
        <v>627.36556997357775</v>
      </c>
      <c r="CQ132" s="119">
        <f t="shared" ca="1" si="174"/>
        <v>708.32400746457267</v>
      </c>
      <c r="CR132" s="119">
        <f t="shared" ca="1" si="174"/>
        <v>581.15048397714997</v>
      </c>
      <c r="CS132" s="119">
        <f t="shared" ca="1" si="174"/>
        <v>521.77660257571597</v>
      </c>
      <c r="CT132" s="141">
        <f t="shared" ca="1" si="174"/>
        <v>2438.6166639910184</v>
      </c>
      <c r="CU132" s="119">
        <f t="shared" ca="1" si="174"/>
        <v>669.14249252662319</v>
      </c>
      <c r="CV132" s="119">
        <f t="shared" ca="1" si="174"/>
        <v>754.67064737973703</v>
      </c>
      <c r="CW132" s="119">
        <f t="shared" ca="1" si="174"/>
        <v>618.24070690379722</v>
      </c>
      <c r="CX132" s="119">
        <f t="shared" ca="1" si="174"/>
        <v>556.63991059512387</v>
      </c>
      <c r="CY132" s="141">
        <f t="shared" ca="1" si="174"/>
        <v>2598.6937574052804</v>
      </c>
      <c r="CZ132" s="142"/>
      <c r="DA132" s="833"/>
      <c r="DB132" s="735"/>
      <c r="DC132" s="835"/>
      <c r="DD132" s="730"/>
      <c r="DF132" s="730"/>
      <c r="DG132" s="736"/>
      <c r="DH132" s="735"/>
      <c r="DI132" s="730"/>
      <c r="DJ132" s="730"/>
      <c r="DK132" s="730"/>
      <c r="DL132" s="730"/>
      <c r="DM132" s="730"/>
      <c r="DN132" s="730"/>
      <c r="DU132" s="48"/>
      <c r="DV132" s="48"/>
      <c r="DW132" s="730"/>
      <c r="DX132" s="730"/>
      <c r="DY132" s="730"/>
      <c r="DZ132" s="730"/>
      <c r="EA132" s="730"/>
    </row>
    <row r="133" spans="1:131" x14ac:dyDescent="0.2">
      <c r="A133" s="48" t="s">
        <v>141</v>
      </c>
      <c r="B133" s="48"/>
      <c r="C133" s="48"/>
      <c r="D133" s="62"/>
      <c r="E133" s="62"/>
      <c r="F133" s="119"/>
      <c r="G133" s="119"/>
      <c r="H133" s="141"/>
      <c r="I133" s="119"/>
      <c r="J133" s="119"/>
      <c r="K133" s="119"/>
      <c r="L133" s="119"/>
      <c r="M133" s="141"/>
      <c r="N133" s="119"/>
      <c r="O133" s="119"/>
      <c r="P133" s="119"/>
      <c r="Q133" s="119"/>
      <c r="R133" s="141"/>
      <c r="S133" s="119"/>
      <c r="T133" s="119"/>
      <c r="U133" s="119"/>
      <c r="V133" s="119"/>
      <c r="W133" s="141"/>
      <c r="X133" s="119"/>
      <c r="Y133" s="119"/>
      <c r="Z133" s="119"/>
      <c r="AA133" s="119"/>
      <c r="AB133" s="141"/>
      <c r="AC133" s="119"/>
      <c r="AD133" s="119"/>
      <c r="AE133" s="119"/>
      <c r="AF133" s="119"/>
      <c r="AG133" s="141"/>
      <c r="AH133" s="119"/>
      <c r="AI133" s="119"/>
      <c r="AJ133" s="119"/>
      <c r="AK133" s="119"/>
      <c r="AL133" s="141"/>
      <c r="AM133" s="119"/>
      <c r="AN133" s="119"/>
      <c r="AO133" s="119"/>
      <c r="AP133" s="119"/>
      <c r="AQ133" s="141"/>
      <c r="AR133" s="119"/>
      <c r="AS133" s="119"/>
      <c r="AT133" s="142"/>
      <c r="AU133" s="119"/>
      <c r="AV133" s="141"/>
      <c r="AW133" s="119"/>
      <c r="AX133" s="119"/>
      <c r="AY133" s="119"/>
      <c r="AZ133" s="119"/>
      <c r="BA133" s="141"/>
      <c r="BB133" s="119"/>
      <c r="BC133" s="119"/>
      <c r="BD133" s="119"/>
      <c r="BE133" s="119"/>
      <c r="BF133" s="199"/>
      <c r="BG133" s="62"/>
      <c r="BH133" s="119"/>
      <c r="BI133" s="119"/>
      <c r="BJ133" s="119"/>
      <c r="BK133" s="141"/>
      <c r="BL133" s="119"/>
      <c r="BM133" s="62"/>
      <c r="BN133" s="119"/>
      <c r="BO133" s="119"/>
      <c r="BP133" s="530"/>
      <c r="BQ133" s="577"/>
      <c r="BR133" s="577"/>
      <c r="BS133" s="119"/>
      <c r="BT133" s="119"/>
      <c r="BU133" s="530"/>
      <c r="BV133" s="605"/>
      <c r="BW133" s="119"/>
      <c r="BX133" s="119"/>
      <c r="BY133" s="119"/>
      <c r="BZ133" s="530"/>
      <c r="CA133" s="139"/>
      <c r="CB133" s="119"/>
      <c r="CC133" s="119"/>
      <c r="CD133" s="119"/>
      <c r="CE133" s="530"/>
      <c r="CF133" s="139"/>
      <c r="CG133" s="119"/>
      <c r="CH133" s="119"/>
      <c r="CI133" s="119"/>
      <c r="CJ133" s="141"/>
      <c r="CK133" s="119"/>
      <c r="CL133" s="119"/>
      <c r="CM133" s="119"/>
      <c r="CN133" s="119"/>
      <c r="CO133" s="141"/>
      <c r="CP133" s="119"/>
      <c r="CQ133" s="119"/>
      <c r="CR133" s="119"/>
      <c r="CS133" s="119"/>
      <c r="CT133" s="141"/>
      <c r="CU133" s="119"/>
      <c r="CV133" s="119"/>
      <c r="CW133" s="119"/>
      <c r="CX133" s="119"/>
      <c r="CY133" s="141"/>
      <c r="CZ133" s="142"/>
      <c r="DA133" s="730"/>
      <c r="DB133" s="735"/>
      <c r="DC133" s="835"/>
      <c r="DD133" s="730"/>
      <c r="DF133" s="730"/>
      <c r="DG133" s="735"/>
      <c r="DH133" s="735"/>
      <c r="DI133" s="730"/>
      <c r="DJ133" s="730"/>
      <c r="DK133" s="730"/>
      <c r="DL133" s="730"/>
      <c r="DM133" s="730"/>
      <c r="DN133" s="730"/>
      <c r="DU133" s="48"/>
      <c r="DV133" s="48"/>
      <c r="DW133" s="730"/>
      <c r="DX133" s="730"/>
      <c r="DY133" s="730"/>
      <c r="DZ133" s="730"/>
      <c r="EA133" s="730"/>
    </row>
    <row r="134" spans="1:131" x14ac:dyDescent="0.2">
      <c r="A134" s="48"/>
      <c r="B134" s="48" t="s">
        <v>142</v>
      </c>
      <c r="C134" s="48"/>
      <c r="D134" s="62">
        <f>17.828+5.966</f>
        <v>23.794</v>
      </c>
      <c r="E134" s="62">
        <f>38.902+14.041-D134</f>
        <v>29.148999999999997</v>
      </c>
      <c r="F134" s="62">
        <f>58.666+18.713-D134-E134</f>
        <v>24.435999999999996</v>
      </c>
      <c r="G134" s="62">
        <f>+H134-D134-E134-F134</f>
        <v>24.574999999999999</v>
      </c>
      <c r="H134" s="178">
        <f>80.079+21.875</f>
        <v>101.95399999999999</v>
      </c>
      <c r="I134" s="62">
        <f>21.194+3.061</f>
        <v>24.254999999999999</v>
      </c>
      <c r="J134" s="62">
        <f>43.311+5.756-I134</f>
        <v>24.812000000000001</v>
      </c>
      <c r="K134" s="62">
        <f>65.121+8.491-I134-J134</f>
        <v>24.544999999999998</v>
      </c>
      <c r="L134" s="62">
        <f>+M134-I134-J134-K134</f>
        <v>30.088000000000012</v>
      </c>
      <c r="M134" s="178">
        <f>93.2+10.5</f>
        <v>103.7</v>
      </c>
      <c r="N134" s="62">
        <f>27.506+1.773</f>
        <v>29.279</v>
      </c>
      <c r="O134" s="62">
        <f>54.1+4-N134</f>
        <v>28.821000000000002</v>
      </c>
      <c r="P134" s="62">
        <f>86.3+6-N134-O134</f>
        <v>34.200000000000003</v>
      </c>
      <c r="Q134" s="62">
        <f>+R134-N134-O134-P134</f>
        <v>35.799999999999997</v>
      </c>
      <c r="R134" s="178">
        <f>119.9+8.2</f>
        <v>128.1</v>
      </c>
      <c r="S134" s="62">
        <f>26.7+2</f>
        <v>28.7</v>
      </c>
      <c r="T134" s="62">
        <f>58.5+3.7-S134</f>
        <v>33.5</v>
      </c>
      <c r="U134" s="62">
        <f>92.2+6-S134-T134</f>
        <v>36</v>
      </c>
      <c r="V134" s="62">
        <f>+W134-S134-T134-U134</f>
        <v>41.09999999999998</v>
      </c>
      <c r="W134" s="178">
        <f>131.7+7.6</f>
        <v>139.29999999999998</v>
      </c>
      <c r="X134" s="62">
        <f>36.1+2.6</f>
        <v>38.700000000000003</v>
      </c>
      <c r="Y134" s="62">
        <f>71.6+5.4-X134</f>
        <v>38.299999999999997</v>
      </c>
      <c r="Z134" s="62">
        <f>109.3+8.2-X134-Y134</f>
        <v>40.5</v>
      </c>
      <c r="AA134" s="62">
        <f>+AB134-X134-Y134-Z134</f>
        <v>48.399999999999977</v>
      </c>
      <c r="AB134" s="178">
        <f>154.7+11.2</f>
        <v>165.89999999999998</v>
      </c>
      <c r="AC134" s="62">
        <f>41.2+3</f>
        <v>44.2</v>
      </c>
      <c r="AD134" s="62">
        <f>79.3+5.9-AC134</f>
        <v>41</v>
      </c>
      <c r="AE134" s="62">
        <f>109.2+10-AC134-AD134</f>
        <v>34</v>
      </c>
      <c r="AF134" s="62">
        <f>+AG134-AC134-AD134-AE134</f>
        <v>37.799999999999997</v>
      </c>
      <c r="AG134" s="178">
        <f>143.6+13.4</f>
        <v>157</v>
      </c>
      <c r="AH134" s="62">
        <f>34.1+3.1</f>
        <v>37.200000000000003</v>
      </c>
      <c r="AI134" s="62">
        <f>77.1+6-AH134</f>
        <v>45.899999999999991</v>
      </c>
      <c r="AJ134" s="62">
        <f>111.5+8.9-AH134-AI134</f>
        <v>37.300000000000011</v>
      </c>
      <c r="AK134" s="62">
        <f>+AL134-AH134-AI134-AJ134</f>
        <v>35.5</v>
      </c>
      <c r="AL134" s="178">
        <f>143.8+12.1</f>
        <v>155.9</v>
      </c>
      <c r="AM134" s="62">
        <f>30.9+3.7</f>
        <v>34.6</v>
      </c>
      <c r="AN134" s="62">
        <f>61+7.3-AM134</f>
        <v>33.699999999999996</v>
      </c>
      <c r="AO134" s="62">
        <f>91.9+11-AM134-AN134</f>
        <v>34.600000000000016</v>
      </c>
      <c r="AP134" s="62">
        <f>+AQ134-AM134-AN134-AO134</f>
        <v>30.900000000000013</v>
      </c>
      <c r="AQ134" s="178">
        <f>119.2+14.6</f>
        <v>133.80000000000001</v>
      </c>
      <c r="AR134" s="62">
        <f>23.2+3.7</f>
        <v>26.9</v>
      </c>
      <c r="AS134" s="62">
        <f>46+6.3-AR134</f>
        <v>25.4</v>
      </c>
      <c r="AT134" s="179">
        <f>71.6+9-AS134-AR134</f>
        <v>28.299999999999997</v>
      </c>
      <c r="AU134" s="62">
        <f>+AV134-AR134-AS134-AT134</f>
        <v>29.70000000000001</v>
      </c>
      <c r="AV134" s="178">
        <f>98.4+11.9</f>
        <v>110.30000000000001</v>
      </c>
      <c r="AW134" s="62">
        <f>26.3+3.2</f>
        <v>29.5</v>
      </c>
      <c r="AX134" s="62">
        <f>52.4-AW134</f>
        <v>22.9</v>
      </c>
      <c r="AY134" s="62">
        <f>80+8.5-AX134-AW134</f>
        <v>36.099999999999994</v>
      </c>
      <c r="AZ134" s="62">
        <f>+BA134-AW134-AX134-AY134</f>
        <v>19.70000000000001</v>
      </c>
      <c r="BA134" s="178">
        <v>108.2</v>
      </c>
      <c r="BB134" s="62">
        <f>27.5+1.7+1.5</f>
        <v>30.7</v>
      </c>
      <c r="BC134" s="62">
        <f>64.1+7.1+5-BB134</f>
        <v>45.499999999999986</v>
      </c>
      <c r="BD134" s="62">
        <f>102.1+11.2-BC134-BB134</f>
        <v>37.100000000000009</v>
      </c>
      <c r="BE134" s="62">
        <f>+BF134-BB134-BC134-BD134</f>
        <v>26.500000000000014</v>
      </c>
      <c r="BF134" s="178">
        <v>139.80000000000001</v>
      </c>
      <c r="BG134" s="62">
        <v>39</v>
      </c>
      <c r="BH134" s="62">
        <f>78.3-BG134</f>
        <v>39.299999999999997</v>
      </c>
      <c r="BI134" s="62">
        <f>118.4-BH134-BG134</f>
        <v>40.100000000000009</v>
      </c>
      <c r="BJ134" s="62">
        <f>+BK134-BG134-BH134-BI134</f>
        <v>43.599999999999994</v>
      </c>
      <c r="BK134" s="178">
        <v>162</v>
      </c>
      <c r="BL134" s="62">
        <v>43</v>
      </c>
      <c r="BM134" s="62">
        <f>88.7-BL134</f>
        <v>45.7</v>
      </c>
      <c r="BN134" s="62">
        <f>130.5-BM134-BL134</f>
        <v>41.8</v>
      </c>
      <c r="BO134" s="62">
        <f>+BP134-BL134-BM134-BN134</f>
        <v>90.500000000000014</v>
      </c>
      <c r="BP134" s="178">
        <f>180.3+40.7</f>
        <v>221</v>
      </c>
      <c r="BQ134" s="577">
        <f>55.8+4.2</f>
        <v>60</v>
      </c>
      <c r="BR134" s="577">
        <f>113.9+6.3-BQ134</f>
        <v>60.2</v>
      </c>
      <c r="BS134" s="62">
        <f>175.3+8.4-BR134-BQ134</f>
        <v>63.500000000000014</v>
      </c>
      <c r="BT134" s="62">
        <f>+BU134-BQ134-BR134-BS134</f>
        <v>110.19999999999997</v>
      </c>
      <c r="BU134" s="178">
        <f>237.5+56.4</f>
        <v>293.89999999999998</v>
      </c>
      <c r="BV134" s="577">
        <v>70.099999999999994</v>
      </c>
      <c r="BW134" s="613">
        <f>140.9-BV134</f>
        <v>70.800000000000011</v>
      </c>
      <c r="BX134" s="62">
        <f>214.4-BW134-BV134</f>
        <v>73.5</v>
      </c>
      <c r="BY134" s="62">
        <f>+BZ134-BV134-BW134-BX134</f>
        <v>79.400000000000006</v>
      </c>
      <c r="BZ134" s="178">
        <v>293.8</v>
      </c>
      <c r="CA134" s="62">
        <f>CA190/4*BZ99</f>
        <v>82.978921867371838</v>
      </c>
      <c r="CB134" s="62">
        <f>CB190/4*CA99</f>
        <v>82.078685709927385</v>
      </c>
      <c r="CC134" s="62">
        <f>CC190/4*CB99</f>
        <v>83.674771162649677</v>
      </c>
      <c r="CD134" s="62">
        <f>CD190/4*CC99</f>
        <v>92.174431833496314</v>
      </c>
      <c r="CE134" s="178">
        <f>CA134+CB134+CC134+CD134</f>
        <v>340.90681057344523</v>
      </c>
      <c r="CF134" s="62">
        <f>CF190/4*CE99</f>
        <v>90.288240338461421</v>
      </c>
      <c r="CG134" s="62">
        <f>CG190/4*CF99</f>
        <v>87.21420373368656</v>
      </c>
      <c r="CH134" s="62">
        <f>CH190/4*CG99</f>
        <v>86.998060782718696</v>
      </c>
      <c r="CI134" s="62">
        <f>CI190/4*CH99</f>
        <v>94.815715663262168</v>
      </c>
      <c r="CJ134" s="178">
        <f>CF134+CG134+CH134+CI134</f>
        <v>359.31622051812883</v>
      </c>
      <c r="CK134" s="62">
        <f>CK190/4*CJ99</f>
        <v>117.3434129791608</v>
      </c>
      <c r="CL134" s="62">
        <f>CL190/4*CK99</f>
        <v>112.33570287674499</v>
      </c>
      <c r="CM134" s="62">
        <f>CM190/4*CL99</f>
        <v>110.51249325967478</v>
      </c>
      <c r="CN134" s="62">
        <f>CN190/4*CM99</f>
        <v>117.25649851824095</v>
      </c>
      <c r="CO134" s="178">
        <f>CK134+CL134+CM134+CN134</f>
        <v>457.44810763382156</v>
      </c>
      <c r="CP134" s="62">
        <f>CP190/4*CO99</f>
        <v>120.01169336912109</v>
      </c>
      <c r="CQ134" s="62">
        <f>CQ190/4*CP99</f>
        <v>113.74323721522288</v>
      </c>
      <c r="CR134" s="62">
        <f>CR190/4*CQ99</f>
        <v>110.70763238756881</v>
      </c>
      <c r="CS134" s="62">
        <f>CS190/4*CR99</f>
        <v>116.39788179264683</v>
      </c>
      <c r="CT134" s="178">
        <f>CP134+CQ134+CR134+CS134</f>
        <v>460.86044476455965</v>
      </c>
      <c r="CU134" s="62">
        <f>CU190/4*CT99</f>
        <v>118.11400735279226</v>
      </c>
      <c r="CV134" s="62">
        <f>CV190/4*CU99</f>
        <v>112.04696715493161</v>
      </c>
      <c r="CW134" s="62">
        <f>CW190/4*CV99</f>
        <v>109.16363783333024</v>
      </c>
      <c r="CX134" s="62">
        <f>CX190/4*CW99</f>
        <v>114.86781910118906</v>
      </c>
      <c r="CY134" s="178">
        <f>CU134+CV134+CW134+CX134</f>
        <v>454.19243144224316</v>
      </c>
      <c r="CZ134" s="179"/>
      <c r="DA134" s="730"/>
      <c r="DB134" s="735"/>
      <c r="DC134" s="735"/>
      <c r="DD134" s="730"/>
      <c r="DF134" s="730"/>
      <c r="DG134" s="735"/>
      <c r="DH134" s="735"/>
      <c r="DI134" s="730"/>
      <c r="DJ134" s="730"/>
      <c r="DK134" s="730"/>
      <c r="DL134" s="730"/>
      <c r="DM134" s="730"/>
      <c r="DN134" s="730"/>
      <c r="DU134" s="48"/>
      <c r="DV134" s="48"/>
      <c r="DW134" s="730"/>
      <c r="DX134" s="730"/>
      <c r="DY134" s="730"/>
      <c r="DZ134" s="730"/>
      <c r="EA134" s="730"/>
    </row>
    <row r="135" spans="1:131" x14ac:dyDescent="0.2">
      <c r="A135" s="48"/>
      <c r="B135" s="48" t="s">
        <v>143</v>
      </c>
      <c r="C135" s="48"/>
      <c r="D135" s="62">
        <v>0.158</v>
      </c>
      <c r="E135" s="62">
        <f>0.183-D135</f>
        <v>2.4999999999999994E-2</v>
      </c>
      <c r="F135" s="62">
        <f>0.208-D135-E135</f>
        <v>2.4999999999999994E-2</v>
      </c>
      <c r="G135" s="62">
        <f>+H135-D135-E135-F135</f>
        <v>2.5000000000000022E-2</v>
      </c>
      <c r="H135" s="178">
        <v>0.23300000000000001</v>
      </c>
      <c r="I135" s="62">
        <v>2.5000000000000001E-2</v>
      </c>
      <c r="J135" s="62">
        <f>0.053-I135</f>
        <v>2.7999999999999997E-2</v>
      </c>
      <c r="K135" s="62">
        <f>0.069-I135-J135</f>
        <v>1.6000000000000007E-2</v>
      </c>
      <c r="L135" s="62">
        <f>+M135-I135-J135-K135</f>
        <v>3.1000000000000007E-2</v>
      </c>
      <c r="M135" s="141">
        <v>0.1</v>
      </c>
      <c r="N135" s="62">
        <v>2.5000000000000001E-2</v>
      </c>
      <c r="O135" s="62">
        <f>0.1-N135</f>
        <v>7.5000000000000011E-2</v>
      </c>
      <c r="P135" s="62">
        <f>0.2-N135-O135</f>
        <v>0.1</v>
      </c>
      <c r="Q135" s="62">
        <f>+R135-N135-O135-P135</f>
        <v>7.3</v>
      </c>
      <c r="R135" s="141">
        <v>7.5</v>
      </c>
      <c r="S135" s="62">
        <v>3.6</v>
      </c>
      <c r="T135" s="62">
        <f>7.8-S135</f>
        <v>4.1999999999999993</v>
      </c>
      <c r="U135" s="62">
        <f>12.1-S135-T135</f>
        <v>4.3000000000000007</v>
      </c>
      <c r="V135" s="62">
        <f>+W135-S135-T135-U135</f>
        <v>4.4000000000000004</v>
      </c>
      <c r="W135" s="141">
        <v>16.5</v>
      </c>
      <c r="X135" s="62">
        <v>9.4</v>
      </c>
      <c r="Y135" s="62">
        <f>16.9-X135</f>
        <v>7.4999999999999982</v>
      </c>
      <c r="Z135" s="62">
        <f>24.1-X135-Y135</f>
        <v>7.2000000000000028</v>
      </c>
      <c r="AA135" s="62">
        <f>+AB135-X135-Y135-Z135</f>
        <v>7.9</v>
      </c>
      <c r="AB135" s="178">
        <v>32</v>
      </c>
      <c r="AC135" s="62">
        <v>10.8</v>
      </c>
      <c r="AD135" s="62">
        <f>22.3-AC135</f>
        <v>11.5</v>
      </c>
      <c r="AE135" s="62">
        <f>34.1-AC135-AD135</f>
        <v>11.8</v>
      </c>
      <c r="AF135" s="62">
        <f>+AG135-AC135-AD135-AE135</f>
        <v>11.999999999999996</v>
      </c>
      <c r="AG135" s="141">
        <v>46.1</v>
      </c>
      <c r="AH135" s="62">
        <v>12.2</v>
      </c>
      <c r="AI135" s="62">
        <f>25.4-AH135</f>
        <v>13.2</v>
      </c>
      <c r="AJ135" s="62">
        <f>39.2-AH135-AI135</f>
        <v>13.800000000000004</v>
      </c>
      <c r="AK135" s="62">
        <f>+AL135-AH135-AI135-AJ135</f>
        <v>17.099999999999991</v>
      </c>
      <c r="AL135" s="141">
        <v>56.3</v>
      </c>
      <c r="AM135" s="62">
        <v>11</v>
      </c>
      <c r="AN135" s="62">
        <f>25.7-AM135</f>
        <v>14.7</v>
      </c>
      <c r="AO135" s="119">
        <f>39.8-AM135-AN135</f>
        <v>14.099999999999998</v>
      </c>
      <c r="AP135" s="62">
        <f>+AQ135-AM135-AN135-AO135</f>
        <v>6.2000000000000028</v>
      </c>
      <c r="AQ135" s="141">
        <v>46</v>
      </c>
      <c r="AR135" s="62">
        <v>13.7</v>
      </c>
      <c r="AS135" s="62">
        <f>24.2-AR135</f>
        <v>10.5</v>
      </c>
      <c r="AT135" s="179">
        <f>37.5-AS135-AR135</f>
        <v>13.3</v>
      </c>
      <c r="AU135" s="62">
        <f>+AV135-AR135-AS135-AT135</f>
        <v>10.100000000000005</v>
      </c>
      <c r="AV135" s="141">
        <v>47.6</v>
      </c>
      <c r="AW135" s="62">
        <v>11.6</v>
      </c>
      <c r="AX135" s="62">
        <f>21.4-AW135</f>
        <v>9.7999999999999989</v>
      </c>
      <c r="AY135" s="62">
        <f>31.3-AX135-AW135</f>
        <v>9.9</v>
      </c>
      <c r="AZ135" s="62">
        <f>+BA135-AW135-AX135-AY135</f>
        <v>9.4999999999999982</v>
      </c>
      <c r="BA135" s="141">
        <v>40.799999999999997</v>
      </c>
      <c r="BB135" s="62">
        <v>12.8</v>
      </c>
      <c r="BC135" s="62">
        <f>25.6-BB135</f>
        <v>12.8</v>
      </c>
      <c r="BD135" s="62">
        <f>37.5-BC135-BB135</f>
        <v>11.899999999999999</v>
      </c>
      <c r="BE135" s="62">
        <f>+BF135-BB135-BC135-BD135</f>
        <v>12.399999999999995</v>
      </c>
      <c r="BF135" s="141">
        <v>49.9</v>
      </c>
      <c r="BG135" s="62">
        <v>11.7</v>
      </c>
      <c r="BH135" s="62">
        <f>27.9-BG135</f>
        <v>16.2</v>
      </c>
      <c r="BI135" s="62">
        <f>42.1-BH135-BG135</f>
        <v>14.200000000000003</v>
      </c>
      <c r="BJ135" s="62">
        <f>+BK135-BG135-BH135-BI135</f>
        <v>12.899999999999995</v>
      </c>
      <c r="BK135" s="141">
        <v>55</v>
      </c>
      <c r="BL135" s="62">
        <v>12.3</v>
      </c>
      <c r="BM135" s="62">
        <f>26-BL135</f>
        <v>13.7</v>
      </c>
      <c r="BN135" s="62">
        <f>40.5-BM135-BL135</f>
        <v>14.5</v>
      </c>
      <c r="BO135" s="62">
        <f>+BP135-BL135-BM135-BN135</f>
        <v>13.500000000000004</v>
      </c>
      <c r="BP135" s="141">
        <v>54</v>
      </c>
      <c r="BQ135" s="577">
        <v>16</v>
      </c>
      <c r="BR135" s="577">
        <f>31.4-BQ135</f>
        <v>15.399999999999999</v>
      </c>
      <c r="BS135" s="577">
        <f>44.4-BR135-BQ135</f>
        <v>13</v>
      </c>
      <c r="BT135" s="62">
        <f>+BU135-BQ135-BR135-BS135</f>
        <v>11.700000000000003</v>
      </c>
      <c r="BU135" s="141">
        <v>56.1</v>
      </c>
      <c r="BV135" s="577">
        <v>15.1</v>
      </c>
      <c r="BW135" s="577">
        <f>28.9-BV135</f>
        <v>13.799999999999999</v>
      </c>
      <c r="BX135" s="577">
        <f>45.5-BW135-BV135</f>
        <v>16.600000000000001</v>
      </c>
      <c r="BY135" s="62">
        <f>+BZ135-BV135-BW135-BX135</f>
        <v>15.399999999999999</v>
      </c>
      <c r="BZ135" s="141">
        <v>60.9</v>
      </c>
      <c r="CA135" s="148">
        <f>+BV135*1.1</f>
        <v>16.61</v>
      </c>
      <c r="CB135" s="148">
        <f>+BW135*1.1</f>
        <v>15.18</v>
      </c>
      <c r="CC135" s="148">
        <f>+BX135*1.1</f>
        <v>18.260000000000002</v>
      </c>
      <c r="CD135" s="148">
        <f>+BY135*1.1</f>
        <v>16.940000000000001</v>
      </c>
      <c r="CE135" s="141">
        <f>CA135+CB135+CC135+CD135</f>
        <v>66.989999999999995</v>
      </c>
      <c r="CF135" s="148">
        <f>+CA135*1.075</f>
        <v>17.855749999999997</v>
      </c>
      <c r="CG135" s="148">
        <f>+CB135*1.075</f>
        <v>16.3185</v>
      </c>
      <c r="CH135" s="148">
        <f>+CC135*1.075</f>
        <v>19.6295</v>
      </c>
      <c r="CI135" s="148">
        <f>+CD135*1.075</f>
        <v>18.2105</v>
      </c>
      <c r="CJ135" s="141">
        <f>CF135+CG135+CH135+CI135</f>
        <v>72.014250000000004</v>
      </c>
      <c r="CK135" s="148">
        <f>+CF135*1.05</f>
        <v>18.748537499999998</v>
      </c>
      <c r="CL135" s="148">
        <f>+CG135*1.05</f>
        <v>17.134425</v>
      </c>
      <c r="CM135" s="148">
        <f>+CH135*1.05</f>
        <v>20.610975</v>
      </c>
      <c r="CN135" s="148">
        <f>+CI135*1.05</f>
        <v>19.121024999999999</v>
      </c>
      <c r="CO135" s="141">
        <f>CK135+CL135+CM135+CN135</f>
        <v>75.614962500000004</v>
      </c>
      <c r="CP135" s="148">
        <f>+CK135*1.05</f>
        <v>19.685964374999998</v>
      </c>
      <c r="CQ135" s="148">
        <f>+CL135*1.05</f>
        <v>17.99114625</v>
      </c>
      <c r="CR135" s="148">
        <f>+CM135*1.05</f>
        <v>21.641523750000001</v>
      </c>
      <c r="CS135" s="148">
        <f>+CN135*1.05</f>
        <v>20.077076250000001</v>
      </c>
      <c r="CT135" s="141">
        <f>CP135+CQ135+CR135+CS135</f>
        <v>79.395710625000007</v>
      </c>
      <c r="CU135" s="148">
        <f>+CP135*1.05</f>
        <v>20.67026259375</v>
      </c>
      <c r="CV135" s="148">
        <f>+CQ135*1.05</f>
        <v>18.890703562500001</v>
      </c>
      <c r="CW135" s="148">
        <f>+CR135*1.05</f>
        <v>22.723599937500001</v>
      </c>
      <c r="CX135" s="148">
        <f>+CS135*1.05</f>
        <v>21.080930062500002</v>
      </c>
      <c r="CY135" s="141">
        <f>CU135+CV135+CW135+CX135</f>
        <v>83.365496156250003</v>
      </c>
      <c r="CZ135" s="142"/>
      <c r="DA135" s="730"/>
      <c r="DB135" s="735"/>
      <c r="DC135" s="836"/>
      <c r="DD135" s="730"/>
      <c r="DF135" s="730"/>
      <c r="DG135" s="735"/>
      <c r="DH135" s="735"/>
      <c r="DI135" s="730"/>
      <c r="DJ135" s="730"/>
      <c r="DK135" s="730"/>
      <c r="DL135" s="730"/>
      <c r="DM135" s="730"/>
      <c r="DN135" s="730"/>
      <c r="DU135" s="48"/>
      <c r="DV135" s="48"/>
      <c r="DW135" s="730"/>
      <c r="DX135" s="730"/>
      <c r="DY135" s="730"/>
      <c r="DZ135" s="730"/>
      <c r="EA135" s="730"/>
    </row>
    <row r="136" spans="1:131" x14ac:dyDescent="0.2">
      <c r="A136" s="48"/>
      <c r="B136" s="48" t="s">
        <v>127</v>
      </c>
      <c r="C136" s="48"/>
      <c r="D136" s="119">
        <v>4.6500000000000004</v>
      </c>
      <c r="E136" s="119">
        <f>2.811-D136</f>
        <v>-1.8390000000000004</v>
      </c>
      <c r="F136" s="62">
        <f>4.622-D136-E136</f>
        <v>1.8109999999999999</v>
      </c>
      <c r="G136" s="62">
        <f>+H136-D136-E136-F136</f>
        <v>26.775999999999996</v>
      </c>
      <c r="H136" s="141">
        <v>31.398</v>
      </c>
      <c r="I136" s="119">
        <v>6.2590000000000003</v>
      </c>
      <c r="J136" s="119">
        <f>14.884-I136</f>
        <v>8.625</v>
      </c>
      <c r="K136" s="119">
        <f>33.524-I136-J136</f>
        <v>18.64</v>
      </c>
      <c r="L136" s="62">
        <f>+M136-I136-J136-K136</f>
        <v>14.775999999999996</v>
      </c>
      <c r="M136" s="141">
        <v>48.3</v>
      </c>
      <c r="N136" s="119">
        <v>13.456</v>
      </c>
      <c r="O136" s="119">
        <f>33.3-N136</f>
        <v>19.843999999999998</v>
      </c>
      <c r="P136" s="119">
        <f>38.8-N136-O136</f>
        <v>5.5</v>
      </c>
      <c r="Q136" s="62">
        <f>+R136-N136-O136-P136</f>
        <v>-8.6999999999999957</v>
      </c>
      <c r="R136" s="141">
        <v>30.1</v>
      </c>
      <c r="S136" s="119">
        <v>15.6</v>
      </c>
      <c r="T136" s="119">
        <f>31.1-S136</f>
        <v>15.500000000000002</v>
      </c>
      <c r="U136" s="119">
        <f>31.5-S136-T136</f>
        <v>0.39999999999999858</v>
      </c>
      <c r="V136" s="62">
        <f>+W136-S136-T136-U136</f>
        <v>21.200000000000003</v>
      </c>
      <c r="W136" s="141">
        <v>52.7</v>
      </c>
      <c r="X136" s="119">
        <v>3.6</v>
      </c>
      <c r="Y136" s="62">
        <f>3.4-X136</f>
        <v>-0.20000000000000018</v>
      </c>
      <c r="Z136" s="119">
        <f>29.9-X136-Y136</f>
        <v>26.499999999999996</v>
      </c>
      <c r="AA136" s="62">
        <f>+AB136-X136-Y136-Z136</f>
        <v>68.100000000000009</v>
      </c>
      <c r="AB136" s="141">
        <v>98</v>
      </c>
      <c r="AC136" s="119">
        <v>3.2</v>
      </c>
      <c r="AD136" s="119">
        <f>11.8-AC136</f>
        <v>8.6000000000000014</v>
      </c>
      <c r="AE136" s="119">
        <f>9.6-AC136-AD136</f>
        <v>-2.200000000000002</v>
      </c>
      <c r="AF136" s="62">
        <f>+AG136-AC136-AD136-AE136</f>
        <v>-7.3</v>
      </c>
      <c r="AG136" s="141">
        <v>2.2999999999999998</v>
      </c>
      <c r="AH136" s="119">
        <v>-27.1</v>
      </c>
      <c r="AI136" s="119">
        <f>-28.7-AH136</f>
        <v>-1.5999999999999979</v>
      </c>
      <c r="AJ136" s="119">
        <f>-22.8-AH136-AI136</f>
        <v>5.8999999999999986</v>
      </c>
      <c r="AK136" s="62">
        <f>+AL136-AH136-AI136-AJ136</f>
        <v>-7.8000000000000007</v>
      </c>
      <c r="AL136" s="141">
        <v>-30.6</v>
      </c>
      <c r="AM136" s="119">
        <v>35.299999999999997</v>
      </c>
      <c r="AN136" s="119">
        <f>50.6-AM136</f>
        <v>15.300000000000004</v>
      </c>
      <c r="AO136" s="119">
        <f>72.2-AM136-AN136</f>
        <v>21.6</v>
      </c>
      <c r="AP136" s="62">
        <f>+AQ136-AM136-AN136-AO136</f>
        <v>-1.2999999999999972</v>
      </c>
      <c r="AQ136" s="141">
        <v>70.900000000000006</v>
      </c>
      <c r="AR136" s="119">
        <v>10.8</v>
      </c>
      <c r="AS136" s="119">
        <f>24.7-AR136</f>
        <v>13.899999999999999</v>
      </c>
      <c r="AT136" s="142">
        <f>36.8-AS136-AR136</f>
        <v>12.099999999999998</v>
      </c>
      <c r="AU136" s="62">
        <f>+AV136-AR136-AS136-AT136</f>
        <v>11.200000000000006</v>
      </c>
      <c r="AV136" s="141">
        <v>48</v>
      </c>
      <c r="AW136" s="119">
        <v>12.3</v>
      </c>
      <c r="AX136" s="119">
        <f>31.9-AW136</f>
        <v>19.599999999999998</v>
      </c>
      <c r="AY136" s="119">
        <f>40.5-AX136-AW136</f>
        <v>8.6000000000000014</v>
      </c>
      <c r="AZ136" s="62">
        <f>+BA136-AW136-AX136-AY136</f>
        <v>-1.2999999999999972</v>
      </c>
      <c r="BA136" s="141">
        <v>39.200000000000003</v>
      </c>
      <c r="BB136" s="62">
        <v>21</v>
      </c>
      <c r="BC136" s="62">
        <f>9.6-BB136</f>
        <v>-11.4</v>
      </c>
      <c r="BD136" s="62">
        <f>10.1-BC136-BB136</f>
        <v>0.5</v>
      </c>
      <c r="BE136" s="62">
        <f>+BF136-BB136-BC136-BD136</f>
        <v>31.5</v>
      </c>
      <c r="BF136" s="141">
        <v>41.6</v>
      </c>
      <c r="BG136" s="62">
        <v>39.6</v>
      </c>
      <c r="BH136" s="62">
        <f>67.6-BG136</f>
        <v>27.999999999999993</v>
      </c>
      <c r="BI136" s="62">
        <f>80.3-BH136-BG136</f>
        <v>12.700000000000003</v>
      </c>
      <c r="BJ136" s="62">
        <f>+BK136-BG136-BH136-BI136</f>
        <v>-1</v>
      </c>
      <c r="BK136" s="141">
        <v>79.3</v>
      </c>
      <c r="BL136" s="62">
        <v>38.299999999999997</v>
      </c>
      <c r="BM136" s="62">
        <f>94-BL136</f>
        <v>55.7</v>
      </c>
      <c r="BN136" s="62">
        <f>192.5-BM136-BL136</f>
        <v>98.500000000000014</v>
      </c>
      <c r="BO136" s="62">
        <f>+BP136-BL136-BM136-BN136</f>
        <v>58.499999999999986</v>
      </c>
      <c r="BP136" s="141">
        <v>251</v>
      </c>
      <c r="BQ136" s="577">
        <v>56</v>
      </c>
      <c r="BR136" s="577">
        <f>139.9-BQ136</f>
        <v>83.9</v>
      </c>
      <c r="BS136" s="577">
        <f>114.7-BR136-BQ136</f>
        <v>-25.200000000000003</v>
      </c>
      <c r="BT136" s="62">
        <f>+BU136-BQ136-BR136-BS136</f>
        <v>13.999999999999986</v>
      </c>
      <c r="BU136" s="141">
        <v>128.69999999999999</v>
      </c>
      <c r="BV136" s="577">
        <v>-8.5</v>
      </c>
      <c r="BW136" s="613">
        <f>13.6-BV136</f>
        <v>22.1</v>
      </c>
      <c r="BX136" s="119">
        <f>91.4-BW136-BV136</f>
        <v>77.800000000000011</v>
      </c>
      <c r="BY136" s="62">
        <f>+BZ136-BV136-BW136-BX136</f>
        <v>23.5</v>
      </c>
      <c r="BZ136" s="141">
        <v>114.9</v>
      </c>
      <c r="CA136" s="119">
        <f ca="1">+CA112-BZ112</f>
        <v>61.472803205905393</v>
      </c>
      <c r="CB136" s="119">
        <f ca="1">CB112-CA112</f>
        <v>69.415239566394121</v>
      </c>
      <c r="CC136" s="119">
        <f ca="1">CC112-CB112</f>
        <v>57.580371406769814</v>
      </c>
      <c r="CD136" s="119">
        <f ca="1">CD112-CC112</f>
        <v>51.258667244702792</v>
      </c>
      <c r="CE136" s="141">
        <f ca="1">CA136+CB136+CC136+CD136</f>
        <v>239.72708142377212</v>
      </c>
      <c r="CF136" s="119">
        <f ca="1">+CF112-CE112</f>
        <v>50.957889895599237</v>
      </c>
      <c r="CG136" s="119">
        <f ca="1">CG112-CF112</f>
        <v>57.434829592685105</v>
      </c>
      <c r="CH136" s="119">
        <f ca="1">CH112-CG112</f>
        <v>47.412684294430392</v>
      </c>
      <c r="CI136" s="119">
        <f ca="1">CI112-CH112</f>
        <v>42.233864018018721</v>
      </c>
      <c r="CJ136" s="141">
        <f ca="1">CF136+CG136+CH136+CI136</f>
        <v>198.03926780073346</v>
      </c>
      <c r="CK136" s="119">
        <f ca="1">+CK112-CJ112</f>
        <v>51.026022336154028</v>
      </c>
      <c r="CL136" s="119">
        <f ca="1">CL112-CK112</f>
        <v>57.567336630484533</v>
      </c>
      <c r="CM136" s="119">
        <f ca="1">CM112-CL112</f>
        <v>47.388729534307231</v>
      </c>
      <c r="CN136" s="119">
        <f ca="1">CN112-CM112</f>
        <v>42.416497441174897</v>
      </c>
      <c r="CO136" s="141">
        <f ca="1">CK136+CL136+CM136+CN136</f>
        <v>198.39858594212069</v>
      </c>
      <c r="CP136" s="119">
        <f ca="1">+CP112-CO112</f>
        <v>50.777484010225407</v>
      </c>
      <c r="CQ136" s="119">
        <f ca="1">CQ112-CP112</f>
        <v>57.274148747157142</v>
      </c>
      <c r="CR136" s="119">
        <f ca="1">CR112-CQ112</f>
        <v>47.068865998166302</v>
      </c>
      <c r="CS136" s="119">
        <f ca="1">CS112-CR112</f>
        <v>42.304295268422038</v>
      </c>
      <c r="CT136" s="141">
        <f ca="1">CP136+CQ136+CR136+CS136</f>
        <v>197.42479402397089</v>
      </c>
      <c r="CU136" s="119">
        <f ca="1">+CU112-CT112</f>
        <v>49.9661105575276</v>
      </c>
      <c r="CV136" s="119">
        <f ca="1">CV112-CU112</f>
        <v>56.30152943553594</v>
      </c>
      <c r="CW136" s="119">
        <f ca="1">CW112-CV112</f>
        <v>46.195607918799851</v>
      </c>
      <c r="CX136" s="119">
        <f ca="1">CX112-CW112</f>
        <v>41.632585970008904</v>
      </c>
      <c r="CY136" s="141">
        <f ca="1">CU136+CV136+CW136+CX136</f>
        <v>194.0958338818723</v>
      </c>
      <c r="CZ136" s="142"/>
      <c r="DA136" s="730"/>
      <c r="DB136" s="735"/>
      <c r="DC136" s="835"/>
      <c r="DD136" s="730"/>
      <c r="DF136" s="730"/>
      <c r="DG136" s="735"/>
      <c r="DH136" s="735"/>
      <c r="DI136" s="730"/>
      <c r="DJ136" s="730"/>
      <c r="DK136" s="730"/>
      <c r="DL136" s="730"/>
      <c r="DM136" s="730"/>
      <c r="DN136" s="730"/>
      <c r="DU136" s="48"/>
      <c r="DV136" s="48"/>
      <c r="DW136" s="730"/>
      <c r="DX136" s="730"/>
      <c r="DY136" s="730"/>
      <c r="DZ136" s="730"/>
      <c r="EA136" s="730"/>
    </row>
    <row r="137" spans="1:131" x14ac:dyDescent="0.2">
      <c r="A137" s="48"/>
      <c r="B137" s="48" t="s">
        <v>144</v>
      </c>
      <c r="C137" s="48"/>
      <c r="D137" s="119">
        <v>-0.32800000000000001</v>
      </c>
      <c r="E137" s="119">
        <f>-0.839-D137</f>
        <v>-0.5109999999999999</v>
      </c>
      <c r="F137" s="119">
        <f>-0.965-D137-E137</f>
        <v>-0.12600000000000011</v>
      </c>
      <c r="G137" s="62">
        <f>+H137-D137-E137-F137</f>
        <v>0.42299999999999999</v>
      </c>
      <c r="H137" s="141">
        <v>-0.54200000000000004</v>
      </c>
      <c r="I137" s="119">
        <v>-6.2E-2</v>
      </c>
      <c r="J137" s="119">
        <f>-0.262-I137</f>
        <v>-0.2</v>
      </c>
      <c r="K137" s="119">
        <f>-0.621-I137-J137</f>
        <v>-0.35899999999999993</v>
      </c>
      <c r="L137" s="62">
        <f>+M137-I137-J137-K137</f>
        <v>-1.179</v>
      </c>
      <c r="M137" s="141">
        <v>-1.8</v>
      </c>
      <c r="N137" s="119">
        <v>0.54200000000000004</v>
      </c>
      <c r="O137" s="119">
        <f>0.8-N137</f>
        <v>0.25800000000000001</v>
      </c>
      <c r="P137" s="119">
        <f>-5.7-N137-O137</f>
        <v>-6.5</v>
      </c>
      <c r="Q137" s="62">
        <f>+R137-N137-O137-P137</f>
        <v>4.9000000000000004</v>
      </c>
      <c r="R137" s="141">
        <v>-0.8</v>
      </c>
      <c r="S137" s="119">
        <v>-0.1</v>
      </c>
      <c r="T137" s="119">
        <f>-0.3-S137</f>
        <v>-0.19999999999999998</v>
      </c>
      <c r="U137" s="119">
        <f>-10.7-S137-T137</f>
        <v>-10.4</v>
      </c>
      <c r="V137" s="62">
        <f>+W137-S137-T137-U137</f>
        <v>-30.299999999999997</v>
      </c>
      <c r="W137" s="141">
        <v>-41</v>
      </c>
      <c r="X137" s="119">
        <v>-46.6</v>
      </c>
      <c r="Y137" s="119">
        <f>2.2-X137</f>
        <v>48.800000000000004</v>
      </c>
      <c r="Z137" s="119">
        <f>10.5-X137-Y137</f>
        <v>8.2999999999999972</v>
      </c>
      <c r="AA137" s="62">
        <f>+AB137-X137-Y137-Z137</f>
        <v>10.199999999999996</v>
      </c>
      <c r="AB137" s="141">
        <v>20.7</v>
      </c>
      <c r="AC137" s="119">
        <v>-23</v>
      </c>
      <c r="AD137" s="119">
        <f>3.1-AC137</f>
        <v>26.1</v>
      </c>
      <c r="AE137" s="119">
        <f>8.6-AC137-AD137</f>
        <v>5.5</v>
      </c>
      <c r="AF137" s="62">
        <f>+AG137-AC137-AD137-AE137</f>
        <v>81.699999999999989</v>
      </c>
      <c r="AG137" s="141">
        <v>90.3</v>
      </c>
      <c r="AH137" s="119">
        <v>-23.6</v>
      </c>
      <c r="AI137" s="119">
        <f>-12.3-AH137</f>
        <v>11.3</v>
      </c>
      <c r="AJ137" s="62">
        <f>27-AH137-AI137</f>
        <v>39.299999999999997</v>
      </c>
      <c r="AK137" s="62">
        <f>+AL137-AH137-AI137-AJ137</f>
        <v>-40.099999999999994</v>
      </c>
      <c r="AL137" s="141">
        <v>-13.1</v>
      </c>
      <c r="AM137" s="62">
        <v>23.1</v>
      </c>
      <c r="AN137" s="62">
        <f>36.5-AM137</f>
        <v>13.399999999999999</v>
      </c>
      <c r="AO137" s="119">
        <f>-0.4-AM137-AN137</f>
        <v>-36.9</v>
      </c>
      <c r="AP137" s="62">
        <f>+AQ137-AM137-AN137-AO137</f>
        <v>-23.400000000000006</v>
      </c>
      <c r="AQ137" s="141">
        <v>-23.8</v>
      </c>
      <c r="AR137" s="62">
        <v>-2.4</v>
      </c>
      <c r="AS137" s="62">
        <f>10-AR137</f>
        <v>12.4</v>
      </c>
      <c r="AT137" s="179">
        <f>27.1-AS137-AR137</f>
        <v>17.100000000000001</v>
      </c>
      <c r="AU137" s="62">
        <f>+AV137-AR137-AS137-AT137</f>
        <v>-24.5</v>
      </c>
      <c r="AV137" s="141">
        <v>2.6</v>
      </c>
      <c r="AW137" s="62">
        <v>-28</v>
      </c>
      <c r="AX137" s="62">
        <f>-0.6-AW137</f>
        <v>27.4</v>
      </c>
      <c r="AY137" s="62">
        <f>23.5-AX137-AW137</f>
        <v>24.1</v>
      </c>
      <c r="AZ137" s="62">
        <f>+BA137-AW137-AX137-AY137</f>
        <v>-15.899999999999999</v>
      </c>
      <c r="BA137" s="141">
        <v>7.6</v>
      </c>
      <c r="BB137" s="62">
        <v>-35.700000000000003</v>
      </c>
      <c r="BC137" s="62">
        <f>-39.1-BB137</f>
        <v>-3.3999999999999986</v>
      </c>
      <c r="BD137" s="62">
        <f>-52.1-BC137-BB137</f>
        <v>-13</v>
      </c>
      <c r="BE137" s="62">
        <f>+BF137-BB137-BC137-BD137</f>
        <v>8.8000000000000043</v>
      </c>
      <c r="BF137" s="141">
        <v>-43.3</v>
      </c>
      <c r="BG137" s="62">
        <v>0.2</v>
      </c>
      <c r="BH137" s="62">
        <f>1.3-BG137</f>
        <v>1.1000000000000001</v>
      </c>
      <c r="BI137" s="62">
        <f>-12.7-BH137-BG137</f>
        <v>-13.999999999999998</v>
      </c>
      <c r="BJ137" s="62">
        <f>+BK137-BG137-BH137-BI137</f>
        <v>11.499999999999998</v>
      </c>
      <c r="BK137" s="141">
        <v>-1.2</v>
      </c>
      <c r="BL137" s="62">
        <v>0</v>
      </c>
      <c r="BM137" s="62">
        <v>0</v>
      </c>
      <c r="BN137" s="62">
        <f>-18.7-BM137-BL137</f>
        <v>-18.7</v>
      </c>
      <c r="BO137" s="62">
        <f>+BP137-BL137-BM137-BN137</f>
        <v>18.7</v>
      </c>
      <c r="BP137" s="141">
        <v>0</v>
      </c>
      <c r="BQ137" s="577">
        <f>-BQ32</f>
        <v>-0.7</v>
      </c>
      <c r="BR137" s="577">
        <f>-BR32</f>
        <v>0</v>
      </c>
      <c r="BS137" s="577">
        <f>-16.2-BR137-BQ137</f>
        <v>-15.5</v>
      </c>
      <c r="BT137" s="62">
        <f>+BU137-BQ137-BR137-BS137</f>
        <v>16.2</v>
      </c>
      <c r="BU137" s="141">
        <v>0</v>
      </c>
      <c r="BV137" s="577">
        <v>0</v>
      </c>
      <c r="BW137" s="613">
        <v>0</v>
      </c>
      <c r="BX137" s="613">
        <f>-20.5-BW137-BV137</f>
        <v>-20.5</v>
      </c>
      <c r="BY137" s="62">
        <f>+BZ137-BV137-BW137-BX137</f>
        <v>20.5</v>
      </c>
      <c r="BZ137" s="141">
        <v>0</v>
      </c>
      <c r="CA137" s="148">
        <v>0</v>
      </c>
      <c r="CB137" s="148">
        <v>0</v>
      </c>
      <c r="CC137" s="148">
        <v>0</v>
      </c>
      <c r="CD137" s="148">
        <v>0</v>
      </c>
      <c r="CE137" s="141">
        <f>CA137+CB137+CC137+CD137</f>
        <v>0</v>
      </c>
      <c r="CF137" s="148">
        <v>0</v>
      </c>
      <c r="CG137" s="148">
        <v>0</v>
      </c>
      <c r="CH137" s="148">
        <v>0</v>
      </c>
      <c r="CI137" s="148">
        <v>0</v>
      </c>
      <c r="CJ137" s="141">
        <f>CF137+CG137+CH137+CI137</f>
        <v>0</v>
      </c>
      <c r="CK137" s="148">
        <v>0</v>
      </c>
      <c r="CL137" s="148">
        <v>0</v>
      </c>
      <c r="CM137" s="148">
        <v>0</v>
      </c>
      <c r="CN137" s="148">
        <v>0</v>
      </c>
      <c r="CO137" s="141">
        <f>CK137+CL137+CM137+CN137</f>
        <v>0</v>
      </c>
      <c r="CP137" s="148">
        <v>0</v>
      </c>
      <c r="CQ137" s="148">
        <v>0</v>
      </c>
      <c r="CR137" s="148">
        <v>0</v>
      </c>
      <c r="CS137" s="148">
        <v>0</v>
      </c>
      <c r="CT137" s="141">
        <f>CP137+CQ137+CR137+CS137</f>
        <v>0</v>
      </c>
      <c r="CU137" s="148">
        <v>0</v>
      </c>
      <c r="CV137" s="148">
        <v>0</v>
      </c>
      <c r="CW137" s="148">
        <v>0</v>
      </c>
      <c r="CX137" s="148">
        <v>0</v>
      </c>
      <c r="CY137" s="141">
        <f>CU137+CV137+CW137+CX137</f>
        <v>0</v>
      </c>
      <c r="CZ137" s="142"/>
      <c r="DA137" s="730"/>
      <c r="DB137" s="735"/>
      <c r="DC137" s="836"/>
      <c r="DD137" s="730"/>
      <c r="DF137" s="730"/>
      <c r="DG137" s="735"/>
      <c r="DH137" s="735"/>
      <c r="DI137" s="730"/>
      <c r="DJ137" s="730"/>
      <c r="DK137" s="730"/>
      <c r="DL137" s="730"/>
      <c r="DM137" s="730"/>
      <c r="DN137" s="730"/>
      <c r="DU137" s="48"/>
      <c r="DV137" s="48"/>
      <c r="DW137" s="730"/>
      <c r="DX137" s="730"/>
      <c r="DY137" s="730"/>
      <c r="DZ137" s="730"/>
      <c r="EA137" s="730"/>
    </row>
    <row r="138" spans="1:131" x14ac:dyDescent="0.2">
      <c r="A138" s="48"/>
      <c r="B138" s="48" t="s">
        <v>90</v>
      </c>
      <c r="C138" s="48"/>
      <c r="D138" s="119">
        <f t="shared" ref="D138:AI138" si="175">+D145-SUM(D140:D144)-D137-D134-D135-D136-D132</f>
        <v>-10.264999999999993</v>
      </c>
      <c r="E138" s="119">
        <f t="shared" si="175"/>
        <v>-28.327999999999982</v>
      </c>
      <c r="F138" s="119">
        <f t="shared" si="175"/>
        <v>-6.7330000000000325</v>
      </c>
      <c r="G138" s="119">
        <f t="shared" si="175"/>
        <v>4.0440000000000822</v>
      </c>
      <c r="H138" s="141">
        <f t="shared" si="175"/>
        <v>-41.28400000000002</v>
      </c>
      <c r="I138" s="119">
        <f t="shared" si="175"/>
        <v>-5.9569999999999865</v>
      </c>
      <c r="J138" s="119">
        <f t="shared" si="175"/>
        <v>0.77200000000001978</v>
      </c>
      <c r="K138" s="119">
        <f t="shared" si="175"/>
        <v>-0.83200000000000784</v>
      </c>
      <c r="L138" s="119">
        <f t="shared" si="175"/>
        <v>-6.0130000000000194</v>
      </c>
      <c r="M138" s="141">
        <f t="shared" si="175"/>
        <v>-12.000000000000057</v>
      </c>
      <c r="N138" s="119">
        <f t="shared" si="175"/>
        <v>36.15400000000011</v>
      </c>
      <c r="O138" s="119">
        <f t="shared" si="175"/>
        <v>-15.348000000000042</v>
      </c>
      <c r="P138" s="119">
        <f t="shared" si="175"/>
        <v>-1.8000000000001677</v>
      </c>
      <c r="Q138" s="119">
        <f t="shared" si="175"/>
        <v>-22.500000000000057</v>
      </c>
      <c r="R138" s="141">
        <f t="shared" si="175"/>
        <v>-3.5000000000001137</v>
      </c>
      <c r="S138" s="119">
        <f t="shared" si="175"/>
        <v>-24.100000000000058</v>
      </c>
      <c r="T138" s="119">
        <f t="shared" si="175"/>
        <v>-25.699999999999974</v>
      </c>
      <c r="U138" s="119">
        <f t="shared" si="175"/>
        <v>-22.599999999999881</v>
      </c>
      <c r="V138" s="119">
        <f t="shared" si="175"/>
        <v>-12.799999999999812</v>
      </c>
      <c r="W138" s="141">
        <f t="shared" si="175"/>
        <v>-85.299999999999613</v>
      </c>
      <c r="X138" s="119">
        <f t="shared" si="175"/>
        <v>-11.600000000000044</v>
      </c>
      <c r="Y138" s="119">
        <f t="shared" si="175"/>
        <v>-4.8000000000000682</v>
      </c>
      <c r="Z138" s="119">
        <f t="shared" si="175"/>
        <v>-7.3999999999999488</v>
      </c>
      <c r="AA138" s="119">
        <f t="shared" si="175"/>
        <v>-61.89999999999992</v>
      </c>
      <c r="AB138" s="141">
        <f t="shared" si="175"/>
        <v>-85.699999999999875</v>
      </c>
      <c r="AC138" s="119">
        <f t="shared" si="175"/>
        <v>-12.900000000000105</v>
      </c>
      <c r="AD138" s="119">
        <f t="shared" si="175"/>
        <v>-24.000000000000028</v>
      </c>
      <c r="AE138" s="119">
        <f t="shared" si="175"/>
        <v>-47.799999999999983</v>
      </c>
      <c r="AF138" s="119">
        <f t="shared" si="175"/>
        <v>43.599999999999987</v>
      </c>
      <c r="AG138" s="141">
        <f t="shared" si="175"/>
        <v>-41.099999999999795</v>
      </c>
      <c r="AH138" s="119">
        <f t="shared" si="175"/>
        <v>-65.000000000000014</v>
      </c>
      <c r="AI138" s="119">
        <f t="shared" si="175"/>
        <v>-22.10000000000008</v>
      </c>
      <c r="AJ138" s="119">
        <f t="shared" ref="AJ138:BF138" si="176">+AJ145-SUM(AJ140:AJ144)-AJ137-AJ134-AJ135-AJ136-AJ132</f>
        <v>-39.899999999999977</v>
      </c>
      <c r="AK138" s="119">
        <f t="shared" si="176"/>
        <v>68.98399999999998</v>
      </c>
      <c r="AL138" s="141">
        <f t="shared" si="176"/>
        <v>-58.015999999999963</v>
      </c>
      <c r="AM138" s="146">
        <f t="shared" si="176"/>
        <v>-35.233199999999997</v>
      </c>
      <c r="AN138" s="146">
        <f t="shared" si="176"/>
        <v>-32.399999999999991</v>
      </c>
      <c r="AO138" s="146">
        <f t="shared" si="176"/>
        <v>3.4000000000000341</v>
      </c>
      <c r="AP138" s="119">
        <f t="shared" si="176"/>
        <v>209.59999999999985</v>
      </c>
      <c r="AQ138" s="141">
        <f t="shared" si="176"/>
        <v>145.36680000000007</v>
      </c>
      <c r="AR138" s="146">
        <f t="shared" si="176"/>
        <v>-1.8999999999999631</v>
      </c>
      <c r="AS138" s="62">
        <f t="shared" si="176"/>
        <v>0.39999999999994884</v>
      </c>
      <c r="AT138" s="179">
        <f t="shared" si="176"/>
        <v>-11.700000000000074</v>
      </c>
      <c r="AU138" s="119">
        <f t="shared" si="176"/>
        <v>4.2000000000000171</v>
      </c>
      <c r="AV138" s="141">
        <f t="shared" si="176"/>
        <v>-9.0000000000002274</v>
      </c>
      <c r="AW138" s="146">
        <f t="shared" si="176"/>
        <v>-2.0999999999999517</v>
      </c>
      <c r="AX138" s="146">
        <f t="shared" si="176"/>
        <v>-1.2000000000000171</v>
      </c>
      <c r="AY138" s="146">
        <f t="shared" si="176"/>
        <v>53.700000000000045</v>
      </c>
      <c r="AZ138" s="119">
        <f t="shared" si="176"/>
        <v>-60.7</v>
      </c>
      <c r="BA138" s="141">
        <f t="shared" si="176"/>
        <v>-10.300000000000011</v>
      </c>
      <c r="BB138" s="119">
        <f t="shared" si="176"/>
        <v>-21.099999999999952</v>
      </c>
      <c r="BC138" s="119">
        <f t="shared" si="176"/>
        <v>-12.999999999999972</v>
      </c>
      <c r="BD138" s="119">
        <f t="shared" si="176"/>
        <v>1.2000000000000171</v>
      </c>
      <c r="BE138" s="119">
        <f t="shared" si="176"/>
        <v>20.299999999999926</v>
      </c>
      <c r="BF138" s="141">
        <f t="shared" si="176"/>
        <v>-12.600000000000364</v>
      </c>
      <c r="BG138" s="62">
        <f t="shared" ref="BG138:BP138" si="177">+BG145-SUM(BG140:BG144)-BG137-BG134-BG135-BG136-BG132</f>
        <v>4.4000000000000057</v>
      </c>
      <c r="BH138" s="62">
        <f t="shared" si="177"/>
        <v>-5.2999999999997272</v>
      </c>
      <c r="BI138" s="62">
        <f t="shared" si="177"/>
        <v>-11.400000000000091</v>
      </c>
      <c r="BJ138" s="119">
        <f t="shared" si="177"/>
        <v>10.999999999999886</v>
      </c>
      <c r="BK138" s="141">
        <f t="shared" si="177"/>
        <v>-1.2999999999999545</v>
      </c>
      <c r="BL138" s="62">
        <f t="shared" si="177"/>
        <v>-1.6999999999999886</v>
      </c>
      <c r="BM138" s="62">
        <f t="shared" si="177"/>
        <v>1.9999999999999432</v>
      </c>
      <c r="BN138" s="62">
        <f t="shared" si="177"/>
        <v>-5.8000000000002387</v>
      </c>
      <c r="BO138" s="119">
        <f t="shared" si="177"/>
        <v>-52.499999999999915</v>
      </c>
      <c r="BP138" s="141">
        <f t="shared" si="177"/>
        <v>-57.999999999999545</v>
      </c>
      <c r="BQ138" s="577">
        <f t="shared" ref="BQ138:BZ138" si="178">+BQ145-SUM(BQ140:BQ144)-BQ137-BQ134-BQ135-BQ136-BQ132</f>
        <v>0.70000000000004547</v>
      </c>
      <c r="BR138" s="577">
        <f t="shared" si="178"/>
        <v>-2.6999999999999886</v>
      </c>
      <c r="BS138" s="577">
        <f t="shared" si="178"/>
        <v>4.1999999999999886</v>
      </c>
      <c r="BT138" s="119">
        <f t="shared" si="178"/>
        <v>-93.400000000000261</v>
      </c>
      <c r="BU138" s="141">
        <f t="shared" si="178"/>
        <v>-91.200000000000045</v>
      </c>
      <c r="BV138" s="577">
        <f t="shared" si="178"/>
        <v>32.800000000000011</v>
      </c>
      <c r="BW138" s="618">
        <f t="shared" si="178"/>
        <v>10.999999999999773</v>
      </c>
      <c r="BX138" s="618">
        <f t="shared" si="178"/>
        <v>-51</v>
      </c>
      <c r="BY138" s="119">
        <f t="shared" si="178"/>
        <v>21.500000000000057</v>
      </c>
      <c r="BZ138" s="247">
        <f t="shared" si="178"/>
        <v>14.299999999999727</v>
      </c>
      <c r="CA138" s="148">
        <v>0</v>
      </c>
      <c r="CB138" s="148">
        <v>0</v>
      </c>
      <c r="CC138" s="148">
        <v>0</v>
      </c>
      <c r="CD138" s="148">
        <v>0</v>
      </c>
      <c r="CE138" s="141">
        <f>CA138+CB138+CC138+CD138</f>
        <v>0</v>
      </c>
      <c r="CF138" s="148">
        <v>0</v>
      </c>
      <c r="CG138" s="148">
        <v>0</v>
      </c>
      <c r="CH138" s="148">
        <v>0</v>
      </c>
      <c r="CI138" s="148">
        <v>0</v>
      </c>
      <c r="CJ138" s="141">
        <f>CF138+CG138+CH138+CI138</f>
        <v>0</v>
      </c>
      <c r="CK138" s="148">
        <v>0</v>
      </c>
      <c r="CL138" s="148">
        <v>0</v>
      </c>
      <c r="CM138" s="148">
        <v>0</v>
      </c>
      <c r="CN138" s="148">
        <v>0</v>
      </c>
      <c r="CO138" s="141">
        <f>CK138+CL138+CM138+CN138</f>
        <v>0</v>
      </c>
      <c r="CP138" s="148">
        <v>0</v>
      </c>
      <c r="CQ138" s="148">
        <v>0</v>
      </c>
      <c r="CR138" s="148">
        <v>0</v>
      </c>
      <c r="CS138" s="148">
        <v>0</v>
      </c>
      <c r="CT138" s="141">
        <f>CP138+CQ138+CR138+CS138</f>
        <v>0</v>
      </c>
      <c r="CU138" s="148">
        <v>0</v>
      </c>
      <c r="CV138" s="148">
        <v>0</v>
      </c>
      <c r="CW138" s="148">
        <v>0</v>
      </c>
      <c r="CX138" s="148">
        <v>0</v>
      </c>
      <c r="CY138" s="141">
        <f>CU138+CV138+CW138+CX138</f>
        <v>0</v>
      </c>
      <c r="CZ138" s="142"/>
      <c r="DA138" s="730"/>
      <c r="DB138" s="735"/>
      <c r="DC138" s="836"/>
      <c r="DD138" s="730"/>
      <c r="DF138" s="730"/>
      <c r="DG138" s="735"/>
      <c r="DH138" s="735"/>
      <c r="DI138" s="730"/>
      <c r="DJ138" s="730"/>
      <c r="DK138" s="730"/>
      <c r="DL138" s="730"/>
      <c r="DM138" s="730"/>
      <c r="DN138" s="730"/>
      <c r="DU138" s="48"/>
      <c r="DV138" s="48"/>
      <c r="DW138" s="730"/>
      <c r="DX138" s="730"/>
      <c r="DY138" s="730"/>
      <c r="DZ138" s="730"/>
      <c r="EA138" s="730"/>
    </row>
    <row r="139" spans="1:131" x14ac:dyDescent="0.2">
      <c r="A139" s="48" t="s">
        <v>145</v>
      </c>
      <c r="B139" s="48"/>
      <c r="C139" s="48"/>
      <c r="D139" s="119"/>
      <c r="E139" s="119"/>
      <c r="F139" s="119"/>
      <c r="G139" s="119"/>
      <c r="H139" s="141"/>
      <c r="I139" s="119"/>
      <c r="J139" s="119"/>
      <c r="K139" s="119"/>
      <c r="L139" s="119"/>
      <c r="M139" s="141"/>
      <c r="N139" s="119"/>
      <c r="O139" s="119"/>
      <c r="P139" s="119"/>
      <c r="Q139" s="119"/>
      <c r="R139" s="141"/>
      <c r="S139" s="119"/>
      <c r="T139" s="119"/>
      <c r="U139" s="119"/>
      <c r="V139" s="119"/>
      <c r="W139" s="141"/>
      <c r="X139" s="119"/>
      <c r="Y139" s="119"/>
      <c r="Z139" s="119"/>
      <c r="AA139" s="119"/>
      <c r="AB139" s="141"/>
      <c r="AC139" s="119"/>
      <c r="AD139" s="119"/>
      <c r="AE139" s="119"/>
      <c r="AF139" s="119"/>
      <c r="AG139" s="141"/>
      <c r="AH139" s="119"/>
      <c r="AI139" s="119"/>
      <c r="AJ139" s="119"/>
      <c r="AK139" s="119"/>
      <c r="AL139" s="141"/>
      <c r="AM139" s="119"/>
      <c r="AN139" s="119"/>
      <c r="AO139" s="119"/>
      <c r="AP139" s="119"/>
      <c r="AQ139" s="141"/>
      <c r="AR139" s="119"/>
      <c r="AS139" s="119"/>
      <c r="AT139" s="142"/>
      <c r="AU139" s="119"/>
      <c r="AV139" s="141"/>
      <c r="AW139" s="119"/>
      <c r="AX139" s="119"/>
      <c r="AY139" s="119"/>
      <c r="AZ139" s="119"/>
      <c r="BA139" s="141"/>
      <c r="BB139" s="119"/>
      <c r="BC139" s="119"/>
      <c r="BD139" s="119"/>
      <c r="BE139" s="119"/>
      <c r="BF139" s="141"/>
      <c r="BG139" s="62"/>
      <c r="BH139" s="62"/>
      <c r="BI139" s="119"/>
      <c r="BJ139" s="119"/>
      <c r="BK139" s="141"/>
      <c r="BL139" s="62"/>
      <c r="BM139" s="62"/>
      <c r="BN139" s="62"/>
      <c r="BO139" s="119"/>
      <c r="BP139" s="141"/>
      <c r="BQ139" s="577"/>
      <c r="BR139" s="577"/>
      <c r="BS139" s="577"/>
      <c r="BT139" s="119"/>
      <c r="BU139" s="141"/>
      <c r="BV139" s="577"/>
      <c r="BW139" s="613"/>
      <c r="BX139" s="119"/>
      <c r="BY139" s="119"/>
      <c r="BZ139" s="141"/>
      <c r="CA139" s="119"/>
      <c r="CB139" s="119"/>
      <c r="CC139" s="119"/>
      <c r="CD139" s="119"/>
      <c r="CE139" s="141"/>
      <c r="CF139" s="119"/>
      <c r="CG139" s="119"/>
      <c r="CH139" s="119"/>
      <c r="CI139" s="119"/>
      <c r="CJ139" s="141"/>
      <c r="CK139" s="119"/>
      <c r="CL139" s="119"/>
      <c r="CM139" s="119"/>
      <c r="CN139" s="119"/>
      <c r="CO139" s="141"/>
      <c r="CP139" s="119"/>
      <c r="CQ139" s="119"/>
      <c r="CR139" s="119"/>
      <c r="CS139" s="119"/>
      <c r="CT139" s="141"/>
      <c r="CU139" s="119"/>
      <c r="CV139" s="119"/>
      <c r="CW139" s="119"/>
      <c r="CX139" s="119"/>
      <c r="CY139" s="141"/>
      <c r="CZ139" s="142"/>
      <c r="DA139" s="730"/>
      <c r="DB139" s="735"/>
      <c r="DC139" s="835"/>
      <c r="DD139" s="730"/>
      <c r="DF139" s="730"/>
      <c r="DG139" s="735"/>
      <c r="DH139" s="735"/>
      <c r="DI139" s="730"/>
      <c r="DJ139" s="730"/>
      <c r="DK139" s="730"/>
      <c r="DL139" s="730"/>
      <c r="DM139" s="730"/>
      <c r="DN139" s="730"/>
      <c r="DU139" s="48"/>
      <c r="DV139" s="48"/>
      <c r="DW139" s="730"/>
      <c r="DX139" s="730"/>
      <c r="DY139" s="730"/>
      <c r="DZ139" s="730"/>
      <c r="EA139" s="730"/>
    </row>
    <row r="140" spans="1:131" x14ac:dyDescent="0.2">
      <c r="A140" s="48"/>
      <c r="B140" s="48" t="s">
        <v>146</v>
      </c>
      <c r="C140" s="48"/>
      <c r="D140" s="119">
        <v>-39.765000000000001</v>
      </c>
      <c r="E140" s="119">
        <f>-99.984-D140</f>
        <v>-60.218999999999994</v>
      </c>
      <c r="F140" s="119">
        <f>-218.73-D140-E140</f>
        <v>-118.74599999999998</v>
      </c>
      <c r="G140" s="119">
        <f t="shared" ref="G140:G145" si="179">+H140-D140-E140-F140</f>
        <v>155.69399999999996</v>
      </c>
      <c r="H140" s="141">
        <v>-63.036000000000001</v>
      </c>
      <c r="I140" s="119">
        <v>-85.132000000000005</v>
      </c>
      <c r="J140" s="119">
        <f>-169.792-I140</f>
        <v>-84.66</v>
      </c>
      <c r="K140" s="119">
        <f>-258.052-I140-J140</f>
        <v>-88.260000000000019</v>
      </c>
      <c r="L140" s="119">
        <f t="shared" ref="L140:L145" si="180">+M140-I140-J140-K140</f>
        <v>157.75200000000001</v>
      </c>
      <c r="M140" s="141">
        <v>-100.3</v>
      </c>
      <c r="N140" s="119">
        <v>8.5310000000000006</v>
      </c>
      <c r="O140" s="119">
        <f>-66.1-N140</f>
        <v>-74.631</v>
      </c>
      <c r="P140" s="119">
        <f>-161.5-N140-O140</f>
        <v>-95.4</v>
      </c>
      <c r="Q140" s="119">
        <f t="shared" ref="Q140:Q145" si="181">+R140-N140-O140-P140</f>
        <v>205.70000000000002</v>
      </c>
      <c r="R140" s="141">
        <v>44.2</v>
      </c>
      <c r="S140" s="119">
        <v>-66.400000000000006</v>
      </c>
      <c r="T140" s="119">
        <f>-152.2-S140</f>
        <v>-85.799999999999983</v>
      </c>
      <c r="U140" s="119">
        <f>-275.7-S140-T140</f>
        <v>-123.5</v>
      </c>
      <c r="V140" s="119">
        <f t="shared" ref="V140:V145" si="182">+W140-S140-T140-U140</f>
        <v>269.39999999999998</v>
      </c>
      <c r="W140" s="141">
        <v>-6.3</v>
      </c>
      <c r="X140" s="119">
        <v>-38.9</v>
      </c>
      <c r="Y140" s="62">
        <f>-56.6-X140</f>
        <v>-17.700000000000003</v>
      </c>
      <c r="Z140" s="119">
        <f>-200.2-X140-Y140</f>
        <v>-143.59999999999997</v>
      </c>
      <c r="AA140" s="119">
        <f t="shared" ref="AA140:AA145" si="183">+AB140-X140-Y140-Z140</f>
        <v>256.39999999999998</v>
      </c>
      <c r="AB140" s="141">
        <v>56.2</v>
      </c>
      <c r="AC140" s="119">
        <v>-53.1</v>
      </c>
      <c r="AD140" s="119">
        <f>-76-AC140</f>
        <v>-22.9</v>
      </c>
      <c r="AE140" s="119">
        <f>-187.4-AC140-AD140</f>
        <v>-111.4</v>
      </c>
      <c r="AF140" s="119">
        <f t="shared" ref="AF140:AF145" si="184">+AG140-AC140-AD140-AE140</f>
        <v>274.8</v>
      </c>
      <c r="AG140" s="141">
        <v>87.4</v>
      </c>
      <c r="AH140" s="119">
        <v>-132.80000000000001</v>
      </c>
      <c r="AI140" s="119">
        <f>-204.5-AH140</f>
        <v>-71.699999999999989</v>
      </c>
      <c r="AJ140" s="119">
        <f>-307.3-AH140-AI140</f>
        <v>-102.80000000000001</v>
      </c>
      <c r="AK140" s="62">
        <f t="shared" ref="AK140:AK145" si="185">+AL140-AH140-AI140-AJ140</f>
        <v>369.2</v>
      </c>
      <c r="AL140" s="141">
        <v>61.9</v>
      </c>
      <c r="AM140" s="119">
        <v>-133.30000000000001</v>
      </c>
      <c r="AN140" s="119">
        <f>-204.5-AM140</f>
        <v>-71.199999999999989</v>
      </c>
      <c r="AO140" s="119">
        <f>-344.3-AM140-AN140</f>
        <v>-139.80000000000001</v>
      </c>
      <c r="AP140" s="62">
        <f t="shared" ref="AP140:AP145" si="186">+AQ140-AM140-AN140-AO140</f>
        <v>258.3</v>
      </c>
      <c r="AQ140" s="141">
        <v>-86</v>
      </c>
      <c r="AR140" s="119">
        <v>-42.4</v>
      </c>
      <c r="AS140" s="119">
        <f>-84.5-AR140</f>
        <v>-42.1</v>
      </c>
      <c r="AT140" s="142">
        <f>-139.5-AS140-AR140</f>
        <v>-55.000000000000007</v>
      </c>
      <c r="AU140" s="62">
        <f t="shared" ref="AU140:AU145" si="187">+AV140-AR140-AS140-AT140</f>
        <v>133.9</v>
      </c>
      <c r="AV140" s="141">
        <v>-5.6</v>
      </c>
      <c r="AW140" s="119">
        <v>-27.5</v>
      </c>
      <c r="AX140" s="119">
        <f>-51.1-AW140</f>
        <v>-23.6</v>
      </c>
      <c r="AY140" s="119">
        <f>-104.2-AX140-AW140</f>
        <v>-53.099999999999994</v>
      </c>
      <c r="AZ140" s="62">
        <f t="shared" ref="AZ140:AZ145" si="188">+BA140-AW140-AX140-AY140</f>
        <v>65.3</v>
      </c>
      <c r="BA140" s="141">
        <v>-38.9</v>
      </c>
      <c r="BB140" s="62">
        <v>18.2</v>
      </c>
      <c r="BC140" s="119">
        <f>8.4-BB140</f>
        <v>-9.7999999999999989</v>
      </c>
      <c r="BD140" s="119">
        <f>-4.7-BC140-BB140</f>
        <v>-13.100000000000001</v>
      </c>
      <c r="BE140" s="62">
        <f t="shared" ref="BE140:BE145" si="189">+BF140-BB140-BC140-BD140</f>
        <v>41.2</v>
      </c>
      <c r="BF140" s="141">
        <v>36.5</v>
      </c>
      <c r="BG140" s="62">
        <v>-24.3</v>
      </c>
      <c r="BH140" s="62">
        <f>-31.3-BG140</f>
        <v>-7</v>
      </c>
      <c r="BI140" s="119">
        <f>-80.8-BH140-BG140</f>
        <v>-49.5</v>
      </c>
      <c r="BJ140" s="62">
        <f t="shared" ref="BJ140:BJ145" si="190">+BK140-BG140-BH140-BI140</f>
        <v>96.9</v>
      </c>
      <c r="BK140" s="141">
        <v>16.100000000000001</v>
      </c>
      <c r="BL140" s="62">
        <v>-98.3</v>
      </c>
      <c r="BM140" s="62">
        <f>-128.9-BL140</f>
        <v>-30.600000000000009</v>
      </c>
      <c r="BN140" s="62">
        <f>-121.5-BM140-BL140</f>
        <v>7.4000000000000057</v>
      </c>
      <c r="BO140" s="62">
        <f t="shared" ref="BO140:BO145" si="191">+BP140-BL140-BM140-BN140</f>
        <v>-8.3000000000000114</v>
      </c>
      <c r="BP140" s="141">
        <v>-129.80000000000001</v>
      </c>
      <c r="BQ140" s="577">
        <v>-39</v>
      </c>
      <c r="BR140" s="577">
        <f>-94.9-BQ140</f>
        <v>-55.900000000000006</v>
      </c>
      <c r="BS140" s="577">
        <f>-121.5-BR140-BQ140</f>
        <v>-26.599999999999994</v>
      </c>
      <c r="BT140" s="62">
        <f t="shared" ref="BT140:BT145" si="192">+BU140-BQ140-BR140-BS140</f>
        <v>72.099999999999994</v>
      </c>
      <c r="BU140" s="141">
        <v>-49.4</v>
      </c>
      <c r="BV140" s="577">
        <v>-96.8</v>
      </c>
      <c r="BW140" s="613">
        <f>-116.7-BV140</f>
        <v>-19.900000000000006</v>
      </c>
      <c r="BX140" s="119">
        <f>-38.4-BW140-BV140</f>
        <v>78.300000000000011</v>
      </c>
      <c r="BY140" s="62">
        <f t="shared" ref="BY140:BY145" si="193">+BZ140-BV140-BW140-BX140</f>
        <v>4.2999999999999829</v>
      </c>
      <c r="BZ140" s="141">
        <v>-34.1</v>
      </c>
      <c r="CA140" s="119">
        <f t="shared" ref="CA140:CD141" si="194">-(CA94-BZ94)</f>
        <v>-97.313714735876601</v>
      </c>
      <c r="CB140" s="119">
        <f t="shared" si="194"/>
        <v>-32.445268284458166</v>
      </c>
      <c r="CC140" s="119">
        <f t="shared" si="194"/>
        <v>66.200821479553838</v>
      </c>
      <c r="CD140" s="119">
        <f t="shared" si="194"/>
        <v>22.14816414572158</v>
      </c>
      <c r="CE140" s="141">
        <f>CA140+CB140+CC140+CD140</f>
        <v>-41.409997395059349</v>
      </c>
      <c r="CF140" s="119">
        <f t="shared" ref="CF140:CI141" si="195">-(CF94-CE94)</f>
        <v>-114.0643657252914</v>
      </c>
      <c r="CG140" s="119">
        <f t="shared" si="195"/>
        <v>-34.444608268128604</v>
      </c>
      <c r="CH140" s="119">
        <f t="shared" si="195"/>
        <v>74.075706383868578</v>
      </c>
      <c r="CI140" s="119">
        <f t="shared" si="195"/>
        <v>23.902863230551247</v>
      </c>
      <c r="CJ140" s="141">
        <f>CF140+CG140+CH140+CI140</f>
        <v>-50.530404379000174</v>
      </c>
      <c r="CK140" s="119">
        <f t="shared" ref="CK140:CN141" si="196">-(CK94-CJ94)</f>
        <v>-114.51399091792439</v>
      </c>
      <c r="CL140" s="119">
        <f t="shared" si="196"/>
        <v>-36.217360761670875</v>
      </c>
      <c r="CM140" s="119">
        <f t="shared" si="196"/>
        <v>80.542016399869794</v>
      </c>
      <c r="CN140" s="119">
        <f t="shared" si="196"/>
        <v>25.405683680726952</v>
      </c>
      <c r="CO140" s="141">
        <f>CK140+CL140+CM140+CN140</f>
        <v>-44.783651598998517</v>
      </c>
      <c r="CP140" s="119">
        <f t="shared" ref="CP140:CS141" si="197">-(CP94-CO94)</f>
        <v>-118.60816593656341</v>
      </c>
      <c r="CQ140" s="119">
        <f t="shared" si="197"/>
        <v>-37.926696477515861</v>
      </c>
      <c r="CR140" s="119">
        <f t="shared" si="197"/>
        <v>86.533066804866735</v>
      </c>
      <c r="CS140" s="119">
        <f t="shared" si="197"/>
        <v>26.829685072403208</v>
      </c>
      <c r="CT140" s="141">
        <f>CP140+CQ140+CR140+CS140</f>
        <v>-43.172110536809328</v>
      </c>
      <c r="CU140" s="119">
        <f t="shared" ref="CU140:CX141" si="198">-(CU94-CT94)</f>
        <v>-122.49520762380496</v>
      </c>
      <c r="CV140" s="119">
        <f t="shared" si="198"/>
        <v>-39.569822353267455</v>
      </c>
      <c r="CW140" s="119">
        <f t="shared" si="198"/>
        <v>92.357378157428457</v>
      </c>
      <c r="CX140" s="119">
        <f t="shared" si="198"/>
        <v>28.205238771142831</v>
      </c>
      <c r="CY140" s="141">
        <f>CU140+CV140+CW140+CX140</f>
        <v>-41.502413048501126</v>
      </c>
      <c r="CZ140" s="142"/>
      <c r="DA140" s="730"/>
      <c r="DB140" s="735"/>
      <c r="DC140" s="835"/>
      <c r="DD140" s="737"/>
      <c r="DF140" s="730"/>
      <c r="DG140" s="735"/>
      <c r="DH140" s="735"/>
      <c r="DI140" s="730"/>
      <c r="DJ140" s="730"/>
      <c r="DK140" s="730"/>
      <c r="DL140" s="730"/>
      <c r="DM140" s="730"/>
      <c r="DN140" s="730"/>
      <c r="DU140" s="48"/>
      <c r="DV140" s="48"/>
      <c r="DW140" s="730"/>
      <c r="DX140" s="730"/>
      <c r="DY140" s="730"/>
      <c r="DZ140" s="730"/>
      <c r="EA140" s="730"/>
    </row>
    <row r="141" spans="1:131" x14ac:dyDescent="0.2">
      <c r="A141" s="48"/>
      <c r="B141" s="48" t="s">
        <v>147</v>
      </c>
      <c r="C141" s="48"/>
      <c r="D141" s="119">
        <v>-15.169</v>
      </c>
      <c r="E141" s="119">
        <f>77.826-D141</f>
        <v>92.99499999999999</v>
      </c>
      <c r="F141" s="119">
        <f>32.305-D141-E141</f>
        <v>-45.520999999999987</v>
      </c>
      <c r="G141" s="119">
        <f t="shared" si="179"/>
        <v>63.745999999999995</v>
      </c>
      <c r="H141" s="141">
        <v>96.051000000000002</v>
      </c>
      <c r="I141" s="119">
        <v>-113.88500000000001</v>
      </c>
      <c r="J141" s="119">
        <f>-119.808-I141</f>
        <v>-5.9230000000000018</v>
      </c>
      <c r="K141" s="119">
        <f>-189.406-I141-J141</f>
        <v>-69.597999999999999</v>
      </c>
      <c r="L141" s="119">
        <f t="shared" si="180"/>
        <v>114.90600000000001</v>
      </c>
      <c r="M141" s="141">
        <v>-74.5</v>
      </c>
      <c r="N141" s="119">
        <v>-112.96899999999999</v>
      </c>
      <c r="O141" s="119">
        <f>-74.5-N141</f>
        <v>38.468999999999994</v>
      </c>
      <c r="P141" s="119">
        <f>-255.5-N141-O141</f>
        <v>-181</v>
      </c>
      <c r="Q141" s="119">
        <f t="shared" si="181"/>
        <v>133.6</v>
      </c>
      <c r="R141" s="141">
        <v>-121.9</v>
      </c>
      <c r="S141" s="119">
        <v>-31.3</v>
      </c>
      <c r="T141" s="119">
        <f>36-S141</f>
        <v>67.3</v>
      </c>
      <c r="U141" s="119">
        <f>-147.7-S141-T141</f>
        <v>-183.7</v>
      </c>
      <c r="V141" s="119">
        <f t="shared" si="182"/>
        <v>62.599999999999994</v>
      </c>
      <c r="W141" s="141">
        <v>-85.1</v>
      </c>
      <c r="X141" s="119">
        <v>-28</v>
      </c>
      <c r="Y141" s="62">
        <f>1.8-X141</f>
        <v>29.8</v>
      </c>
      <c r="Z141" s="119">
        <f>-58.5-X141-Y141</f>
        <v>-60.3</v>
      </c>
      <c r="AA141" s="119">
        <f t="shared" si="183"/>
        <v>20.700000000000003</v>
      </c>
      <c r="AB141" s="141">
        <v>-37.799999999999997</v>
      </c>
      <c r="AC141" s="119">
        <v>-69</v>
      </c>
      <c r="AD141" s="119">
        <f>-28.3-AC141</f>
        <v>40.700000000000003</v>
      </c>
      <c r="AE141" s="119">
        <f>-176.6-AC141-AD141</f>
        <v>-148.30000000000001</v>
      </c>
      <c r="AF141" s="119">
        <f t="shared" si="184"/>
        <v>90.600000000000009</v>
      </c>
      <c r="AG141" s="141">
        <v>-86</v>
      </c>
      <c r="AH141" s="119">
        <v>34.5</v>
      </c>
      <c r="AI141" s="119">
        <f>91.3-AH141</f>
        <v>56.8</v>
      </c>
      <c r="AJ141" s="119">
        <f>-32.3-AH141-AI141</f>
        <v>-123.6</v>
      </c>
      <c r="AK141" s="62">
        <f t="shared" si="185"/>
        <v>83.3</v>
      </c>
      <c r="AL141" s="141">
        <v>51</v>
      </c>
      <c r="AM141" s="119">
        <v>61</v>
      </c>
      <c r="AN141" s="119">
        <f>157.2-AM141</f>
        <v>96.199999999999989</v>
      </c>
      <c r="AO141" s="119">
        <f>52.5-AM141-AN141</f>
        <v>-104.69999999999999</v>
      </c>
      <c r="AP141" s="62">
        <f t="shared" si="186"/>
        <v>138.30000000000001</v>
      </c>
      <c r="AQ141" s="141">
        <v>190.8</v>
      </c>
      <c r="AR141" s="119">
        <v>67.5</v>
      </c>
      <c r="AS141" s="119">
        <f>118.7-AR141</f>
        <v>51.2</v>
      </c>
      <c r="AT141" s="142">
        <f>-37.8-AS141-AR141</f>
        <v>-156.5</v>
      </c>
      <c r="AU141" s="62">
        <f t="shared" si="187"/>
        <v>89.3</v>
      </c>
      <c r="AV141" s="141">
        <v>51.5</v>
      </c>
      <c r="AW141" s="119">
        <v>31.2</v>
      </c>
      <c r="AX141" s="119">
        <f>37.2-AW141</f>
        <v>6.0000000000000036</v>
      </c>
      <c r="AY141" s="119">
        <f>-196.7-AX141-AW141</f>
        <v>-233.89999999999998</v>
      </c>
      <c r="AZ141" s="62">
        <f t="shared" si="188"/>
        <v>106.69999999999997</v>
      </c>
      <c r="BA141" s="141">
        <v>-90</v>
      </c>
      <c r="BB141" s="62">
        <v>30.7</v>
      </c>
      <c r="BC141" s="119">
        <f>67.4-BB141</f>
        <v>36.700000000000003</v>
      </c>
      <c r="BD141" s="119">
        <f>-112.2-BC141-BB141</f>
        <v>-179.6</v>
      </c>
      <c r="BE141" s="62">
        <f t="shared" si="189"/>
        <v>71.099999999999994</v>
      </c>
      <c r="BF141" s="141">
        <v>-41.1</v>
      </c>
      <c r="BG141" s="62">
        <v>-31.8</v>
      </c>
      <c r="BH141" s="62">
        <f>-34.3-BG141</f>
        <v>-2.4999999999999964</v>
      </c>
      <c r="BI141" s="119">
        <f>-205.6-BH141-BG141</f>
        <v>-171.29999999999998</v>
      </c>
      <c r="BJ141" s="62">
        <f t="shared" si="190"/>
        <v>73.09999999999998</v>
      </c>
      <c r="BK141" s="141">
        <v>-132.5</v>
      </c>
      <c r="BL141" s="62">
        <v>37</v>
      </c>
      <c r="BM141" s="62">
        <f>63.6-BL141</f>
        <v>26.6</v>
      </c>
      <c r="BN141" s="62">
        <f>-25-BM141-BL141</f>
        <v>-88.6</v>
      </c>
      <c r="BO141" s="62">
        <f t="shared" si="191"/>
        <v>35.099999999999994</v>
      </c>
      <c r="BP141" s="141">
        <v>10.1</v>
      </c>
      <c r="BQ141" s="577">
        <v>-19</v>
      </c>
      <c r="BR141" s="577">
        <f>48.9-BQ141</f>
        <v>67.900000000000006</v>
      </c>
      <c r="BS141" s="577">
        <f>-193.9-BR141-BQ141</f>
        <v>-242.8</v>
      </c>
      <c r="BT141" s="62">
        <f t="shared" si="192"/>
        <v>42.900000000000006</v>
      </c>
      <c r="BU141" s="141">
        <v>-151</v>
      </c>
      <c r="BV141" s="577">
        <v>18.399999999999999</v>
      </c>
      <c r="BW141" s="613">
        <f>49.2-BV141</f>
        <v>30.800000000000004</v>
      </c>
      <c r="BX141" s="119">
        <f>-221.7-BW141-BV141</f>
        <v>-270.89999999999998</v>
      </c>
      <c r="BY141" s="62">
        <f t="shared" si="193"/>
        <v>97.899999999999977</v>
      </c>
      <c r="BZ141" s="141">
        <v>-123.8</v>
      </c>
      <c r="CA141" s="119">
        <f>-(CA95-BZ95)</f>
        <v>24.795378704492123</v>
      </c>
      <c r="CB141" s="119">
        <f t="shared" si="194"/>
        <v>14.306583172968885</v>
      </c>
      <c r="CC141" s="119">
        <f t="shared" si="194"/>
        <v>-271.51810402517708</v>
      </c>
      <c r="CD141" s="119">
        <f t="shared" si="194"/>
        <v>132.41772270955471</v>
      </c>
      <c r="CE141" s="141">
        <f>CA141+CB141+CC141+CD141</f>
        <v>-99.998419438161363</v>
      </c>
      <c r="CF141" s="119">
        <f>-(CF95-CE95)</f>
        <v>60.097543837126977</v>
      </c>
      <c r="CG141" s="119">
        <f t="shared" si="195"/>
        <v>18.111798538571747</v>
      </c>
      <c r="CH141" s="119">
        <f t="shared" si="195"/>
        <v>-279.09165844864492</v>
      </c>
      <c r="CI141" s="119">
        <f t="shared" si="195"/>
        <v>137.17614986784611</v>
      </c>
      <c r="CJ141" s="141">
        <f>CF141+CG141+CH141+CI141</f>
        <v>-63.706166205100089</v>
      </c>
      <c r="CK141" s="119">
        <f t="shared" si="196"/>
        <v>59.209085995621535</v>
      </c>
      <c r="CL141" s="119">
        <f t="shared" si="196"/>
        <v>22.152708146783425</v>
      </c>
      <c r="CM141" s="119">
        <f t="shared" si="196"/>
        <v>-290.05847512830587</v>
      </c>
      <c r="CN141" s="119">
        <f t="shared" si="196"/>
        <v>142.6808054490798</v>
      </c>
      <c r="CO141" s="141">
        <f>CK141+CL141+CM141+CN141</f>
        <v>-66.015875536821113</v>
      </c>
      <c r="CP141" s="119">
        <f t="shared" si="197"/>
        <v>28.69833727302057</v>
      </c>
      <c r="CQ141" s="119">
        <f t="shared" si="197"/>
        <v>23.291044174679882</v>
      </c>
      <c r="CR141" s="119">
        <f t="shared" si="197"/>
        <v>-297.65481179271046</v>
      </c>
      <c r="CS141" s="119">
        <f t="shared" si="197"/>
        <v>148.67642399954184</v>
      </c>
      <c r="CT141" s="141">
        <f>CP141+CQ141+CR141+CS141</f>
        <v>-96.989006345468169</v>
      </c>
      <c r="CU141" s="119">
        <f t="shared" si="198"/>
        <v>34.33618487970989</v>
      </c>
      <c r="CV141" s="119">
        <f t="shared" si="198"/>
        <v>24.370104095760325</v>
      </c>
      <c r="CW141" s="119">
        <f t="shared" si="198"/>
        <v>-304.66890965019957</v>
      </c>
      <c r="CX141" s="119">
        <f t="shared" si="198"/>
        <v>154.2948691879792</v>
      </c>
      <c r="CY141" s="141">
        <f>CU141+CV141+CW141+CX141</f>
        <v>-91.667751486750149</v>
      </c>
      <c r="CZ141" s="142"/>
      <c r="DA141" s="730"/>
      <c r="DB141" s="735"/>
      <c r="DC141" s="835"/>
      <c r="DD141" s="737"/>
      <c r="DF141" s="730"/>
      <c r="DG141" s="735"/>
      <c r="DH141" s="735"/>
      <c r="DI141" s="730"/>
      <c r="DJ141" s="730"/>
      <c r="DK141" s="730"/>
      <c r="DL141" s="730"/>
      <c r="DM141" s="730"/>
      <c r="DN141" s="730"/>
      <c r="DU141" s="48"/>
      <c r="DV141" s="48"/>
      <c r="DW141" s="730"/>
      <c r="DX141" s="730"/>
      <c r="DY141" s="730"/>
      <c r="DZ141" s="730"/>
      <c r="EA141" s="730"/>
    </row>
    <row r="142" spans="1:131" x14ac:dyDescent="0.2">
      <c r="A142" s="48"/>
      <c r="B142" s="48" t="s">
        <v>111</v>
      </c>
      <c r="C142" s="48"/>
      <c r="D142" s="119">
        <v>15.571</v>
      </c>
      <c r="E142" s="119">
        <f>14.155-D142</f>
        <v>-1.4160000000000004</v>
      </c>
      <c r="F142" s="119">
        <f>13.417-D142-E142</f>
        <v>-0.73799999999999955</v>
      </c>
      <c r="G142" s="119">
        <f t="shared" si="179"/>
        <v>-11.225</v>
      </c>
      <c r="H142" s="141">
        <v>2.1920000000000002</v>
      </c>
      <c r="I142" s="119">
        <v>12.566000000000001</v>
      </c>
      <c r="J142" s="119">
        <f>-36.251-I142</f>
        <v>-48.817</v>
      </c>
      <c r="K142" s="119">
        <f>-3.4-I142-J142</f>
        <v>32.850999999999999</v>
      </c>
      <c r="L142" s="119">
        <f t="shared" si="180"/>
        <v>-4.6999999999999993</v>
      </c>
      <c r="M142" s="141">
        <v>-8.1</v>
      </c>
      <c r="N142" s="119">
        <v>-3.6509999999999998</v>
      </c>
      <c r="O142" s="119">
        <f>-5.5-N142</f>
        <v>-1.8490000000000002</v>
      </c>
      <c r="P142" s="119">
        <f>7.3-N142-O142</f>
        <v>12.8</v>
      </c>
      <c r="Q142" s="119">
        <f t="shared" si="181"/>
        <v>-0.10000000000000142</v>
      </c>
      <c r="R142" s="141">
        <v>7.2</v>
      </c>
      <c r="S142" s="119">
        <v>-10.9</v>
      </c>
      <c r="T142" s="119">
        <f>-43.1-S142</f>
        <v>-32.200000000000003</v>
      </c>
      <c r="U142" s="119">
        <f>-45.1-S142-T142</f>
        <v>-2</v>
      </c>
      <c r="V142" s="119">
        <f t="shared" si="182"/>
        <v>89.4</v>
      </c>
      <c r="W142" s="141">
        <v>44.3</v>
      </c>
      <c r="X142" s="119">
        <v>-4.7</v>
      </c>
      <c r="Y142" s="119">
        <f>-9-X142</f>
        <v>-4.3</v>
      </c>
      <c r="Z142" s="119">
        <f>10.7-X142-Y142</f>
        <v>19.7</v>
      </c>
      <c r="AA142" s="119">
        <f t="shared" si="183"/>
        <v>-16.5</v>
      </c>
      <c r="AB142" s="141">
        <v>-5.8</v>
      </c>
      <c r="AC142" s="119">
        <v>6.8</v>
      </c>
      <c r="AD142" s="119">
        <f>9.7-AC142</f>
        <v>2.8999999999999995</v>
      </c>
      <c r="AE142" s="119">
        <f>16.4-AC142-AD142</f>
        <v>6.6999999999999984</v>
      </c>
      <c r="AF142" s="119">
        <f t="shared" si="184"/>
        <v>-6.9999999999999973</v>
      </c>
      <c r="AG142" s="141">
        <v>9.4</v>
      </c>
      <c r="AH142" s="119">
        <v>4.9000000000000004</v>
      </c>
      <c r="AI142" s="119">
        <f>1-AH142</f>
        <v>-3.9000000000000004</v>
      </c>
      <c r="AJ142" s="119">
        <f>7.3-AH142-AI142</f>
        <v>6.3</v>
      </c>
      <c r="AK142" s="62">
        <f t="shared" si="185"/>
        <v>-4.6999999999999993</v>
      </c>
      <c r="AL142" s="141">
        <v>2.6</v>
      </c>
      <c r="AM142" s="119">
        <v>7</v>
      </c>
      <c r="AN142" s="119">
        <f>5.3-AM142</f>
        <v>-1.7000000000000002</v>
      </c>
      <c r="AO142" s="119">
        <f>7.9-AM142-AN142</f>
        <v>2.6000000000000005</v>
      </c>
      <c r="AP142" s="62">
        <f t="shared" si="186"/>
        <v>-15.5</v>
      </c>
      <c r="AQ142" s="141">
        <v>-7.6</v>
      </c>
      <c r="AR142" s="119">
        <v>11.4</v>
      </c>
      <c r="AS142" s="119">
        <f>7.7-AR142</f>
        <v>-3.7</v>
      </c>
      <c r="AT142" s="142">
        <f>13.6-AS142-AR142</f>
        <v>5.9</v>
      </c>
      <c r="AU142" s="62">
        <f t="shared" si="187"/>
        <v>-7.1000000000000005</v>
      </c>
      <c r="AV142" s="141">
        <v>6.5</v>
      </c>
      <c r="AW142" s="119">
        <v>-0.8</v>
      </c>
      <c r="AX142" s="119">
        <f>-1-AW142</f>
        <v>-0.19999999999999996</v>
      </c>
      <c r="AY142" s="119">
        <f>-0.3-AX142-AW142</f>
        <v>0.7</v>
      </c>
      <c r="AZ142" s="62">
        <f t="shared" si="188"/>
        <v>-9.2999999999999989</v>
      </c>
      <c r="BA142" s="141">
        <v>-9.6</v>
      </c>
      <c r="BB142" s="62">
        <v>-6.2</v>
      </c>
      <c r="BC142" s="119">
        <f>17.6-BB142</f>
        <v>23.8</v>
      </c>
      <c r="BD142" s="119">
        <f>11.8-BC142-BB142</f>
        <v>-5.8</v>
      </c>
      <c r="BE142" s="62">
        <f t="shared" si="189"/>
        <v>-12</v>
      </c>
      <c r="BF142" s="141">
        <v>-0.2</v>
      </c>
      <c r="BG142" s="62">
        <v>-17.399999999999999</v>
      </c>
      <c r="BH142" s="62">
        <f>-30.7-BG142</f>
        <v>-13.3</v>
      </c>
      <c r="BI142" s="119">
        <f>-68.4-BH142-BG142</f>
        <v>-37.70000000000001</v>
      </c>
      <c r="BJ142" s="62">
        <f t="shared" si="190"/>
        <v>-2.7999999999999901</v>
      </c>
      <c r="BK142" s="141">
        <v>-71.2</v>
      </c>
      <c r="BL142" s="62">
        <v>0.6</v>
      </c>
      <c r="BM142" s="62">
        <f>44.7-BL142</f>
        <v>44.1</v>
      </c>
      <c r="BN142" s="62">
        <f>46.8-BM142-BL142</f>
        <v>2.0999999999999956</v>
      </c>
      <c r="BO142" s="62">
        <f t="shared" si="191"/>
        <v>-0.89999999999999991</v>
      </c>
      <c r="BP142" s="141">
        <v>45.9</v>
      </c>
      <c r="BQ142" s="577">
        <v>-31.6</v>
      </c>
      <c r="BR142" s="577">
        <f>-28.6-BQ142</f>
        <v>3</v>
      </c>
      <c r="BS142" s="577">
        <f>-30.4-BR142-BQ142</f>
        <v>-1.7999999999999972</v>
      </c>
      <c r="BT142" s="62">
        <f t="shared" si="192"/>
        <v>-41.199999999999996</v>
      </c>
      <c r="BU142" s="141">
        <v>-71.599999999999994</v>
      </c>
      <c r="BV142" s="577">
        <v>-36</v>
      </c>
      <c r="BW142" s="613">
        <f>-89.7-BV142</f>
        <v>-53.7</v>
      </c>
      <c r="BX142" s="119">
        <f>-78.3-BW142-BV142</f>
        <v>11.400000000000006</v>
      </c>
      <c r="BY142" s="62">
        <f t="shared" si="193"/>
        <v>-33.200000000000003</v>
      </c>
      <c r="BZ142" s="141">
        <v>-111.5</v>
      </c>
      <c r="CA142" s="119">
        <f>+BZ96-CA96</f>
        <v>103.60114555767234</v>
      </c>
      <c r="CB142" s="119">
        <f>+CA96-CB96</f>
        <v>-83.421317233182151</v>
      </c>
      <c r="CC142" s="119">
        <f>+CB96-CC96</f>
        <v>15.999409664504299</v>
      </c>
      <c r="CD142" s="119">
        <f>+CC96-CD96</f>
        <v>-74.33008504233851</v>
      </c>
      <c r="CE142" s="141">
        <f>CA142+CB142+CC142+CD142</f>
        <v>-38.150847053344023</v>
      </c>
      <c r="CF142" s="119">
        <f>+CE96-CF96</f>
        <v>113.79411488307704</v>
      </c>
      <c r="CG142" s="119">
        <f>+CF96-CG96</f>
        <v>-88.886294447861758</v>
      </c>
      <c r="CH142" s="119">
        <f>+CG96-CH96</f>
        <v>19.08065242788814</v>
      </c>
      <c r="CI142" s="119">
        <f>+CH96-CI96</f>
        <v>-78.699942282306552</v>
      </c>
      <c r="CJ142" s="141">
        <f>CF142+CG142+CH142+CI142</f>
        <v>-34.711469419203127</v>
      </c>
      <c r="CK142" s="119">
        <f>+CJ96-CK96</f>
        <v>123.99943671072532</v>
      </c>
      <c r="CL142" s="119">
        <f>+CK96-CL96</f>
        <v>-93.687808486732877</v>
      </c>
      <c r="CM142" s="119">
        <f>+CL96-CM96</f>
        <v>21.527772699098932</v>
      </c>
      <c r="CN142" s="119">
        <f>+CM96-CN96</f>
        <v>-82.603183086784611</v>
      </c>
      <c r="CO142" s="141">
        <f>CK142+CL142+CM142+CN142</f>
        <v>-30.763782163693236</v>
      </c>
      <c r="CP142" s="119">
        <f>+CO96-CP96</f>
        <v>131.26760219645666</v>
      </c>
      <c r="CQ142" s="119">
        <f>+CP96-CQ96</f>
        <v>-98.296708356948784</v>
      </c>
      <c r="CR142" s="119">
        <f>+CQ96-CR96</f>
        <v>23.752682185354388</v>
      </c>
      <c r="CS142" s="119">
        <f>+CR96-CS96</f>
        <v>-86.380322553566202</v>
      </c>
      <c r="CT142" s="141">
        <f>CP142+CQ142+CR142+CS142</f>
        <v>-29.656746528703934</v>
      </c>
      <c r="CU142" s="119">
        <f>+CT96-CU96</f>
        <v>138.30297051831587</v>
      </c>
      <c r="CV142" s="119">
        <f>+CU96-CV96</f>
        <v>-102.73266876433013</v>
      </c>
      <c r="CW142" s="119">
        <f>+CV96-CW96</f>
        <v>25.927472006712151</v>
      </c>
      <c r="CX142" s="119">
        <f>+CW96-CX96</f>
        <v>-90.007534548499734</v>
      </c>
      <c r="CY142" s="141">
        <f>CU142+CV142+CW142+CX142</f>
        <v>-28.509760787801838</v>
      </c>
      <c r="CZ142" s="142"/>
      <c r="DA142" s="730"/>
      <c r="DB142" s="735"/>
      <c r="DC142" s="835"/>
      <c r="DD142" s="737"/>
      <c r="DF142" s="730"/>
      <c r="DG142" s="735"/>
      <c r="DH142" s="735"/>
      <c r="DI142" s="730"/>
      <c r="DJ142" s="730"/>
      <c r="DK142" s="730"/>
      <c r="DL142" s="730"/>
      <c r="DM142" s="730"/>
      <c r="DN142" s="730"/>
      <c r="DU142" s="48"/>
      <c r="DV142" s="48"/>
      <c r="DW142" s="730"/>
      <c r="DX142" s="730"/>
      <c r="DY142" s="730"/>
      <c r="DZ142" s="730"/>
      <c r="EA142" s="730"/>
    </row>
    <row r="143" spans="1:131" x14ac:dyDescent="0.2">
      <c r="A143" s="48"/>
      <c r="B143" s="48" t="s">
        <v>121</v>
      </c>
      <c r="C143" s="48"/>
      <c r="D143" s="119">
        <v>-28.4</v>
      </c>
      <c r="E143" s="119">
        <f>-44.289-D143</f>
        <v>-15.889000000000003</v>
      </c>
      <c r="F143" s="119">
        <f>23.615-D143-E143</f>
        <v>67.903999999999996</v>
      </c>
      <c r="G143" s="119">
        <f t="shared" si="179"/>
        <v>-85.262</v>
      </c>
      <c r="H143" s="141">
        <v>-61.646999999999998</v>
      </c>
      <c r="I143" s="119">
        <v>112.745</v>
      </c>
      <c r="J143" s="119">
        <f>145.195-I143</f>
        <v>32.449999999999989</v>
      </c>
      <c r="K143" s="119">
        <f>108.358-I143-J143</f>
        <v>-36.836999999999989</v>
      </c>
      <c r="L143" s="119">
        <f t="shared" si="180"/>
        <v>-96.957999999999998</v>
      </c>
      <c r="M143" s="141">
        <v>11.4</v>
      </c>
      <c r="N143" s="119">
        <v>70.088999999999999</v>
      </c>
      <c r="O143" s="119">
        <f>44.6-N143</f>
        <v>-25.488999999999997</v>
      </c>
      <c r="P143" s="119">
        <f>172.6-N143-O143</f>
        <v>128</v>
      </c>
      <c r="Q143" s="119">
        <f t="shared" si="181"/>
        <v>-173.8</v>
      </c>
      <c r="R143" s="141">
        <v>-1.2</v>
      </c>
      <c r="S143" s="119">
        <v>45.4</v>
      </c>
      <c r="T143" s="119">
        <f>55.3-S143</f>
        <v>9.8999999999999986</v>
      </c>
      <c r="U143" s="119">
        <f>172-S143-T143</f>
        <v>116.69999999999999</v>
      </c>
      <c r="V143" s="119">
        <f t="shared" si="182"/>
        <v>-137.69999999999999</v>
      </c>
      <c r="W143" s="141">
        <v>34.299999999999997</v>
      </c>
      <c r="X143" s="119">
        <v>-23.1</v>
      </c>
      <c r="Y143" s="62">
        <f>-10.7-X143</f>
        <v>12.400000000000002</v>
      </c>
      <c r="Z143" s="119">
        <f>48.7-X143-Y143</f>
        <v>59.400000000000006</v>
      </c>
      <c r="AA143" s="119">
        <f t="shared" si="183"/>
        <v>-32.400000000000006</v>
      </c>
      <c r="AB143" s="141">
        <v>16.3</v>
      </c>
      <c r="AC143" s="119">
        <v>14.4</v>
      </c>
      <c r="AD143" s="119">
        <f>10.2-AC143</f>
        <v>-4.2000000000000011</v>
      </c>
      <c r="AE143" s="119">
        <f>38.3-AC143-AD143</f>
        <v>28.1</v>
      </c>
      <c r="AF143" s="119">
        <f t="shared" si="184"/>
        <v>-65.199999999999989</v>
      </c>
      <c r="AG143" s="141">
        <v>-26.9</v>
      </c>
      <c r="AH143" s="119">
        <v>-28.2</v>
      </c>
      <c r="AI143" s="119">
        <f>-11.5-AH143</f>
        <v>16.7</v>
      </c>
      <c r="AJ143" s="119">
        <f>63.2-AH143-AI143</f>
        <v>74.7</v>
      </c>
      <c r="AK143" s="62">
        <f t="shared" si="185"/>
        <v>-105.9</v>
      </c>
      <c r="AL143" s="141">
        <v>-42.7</v>
      </c>
      <c r="AM143" s="119">
        <v>-30.6</v>
      </c>
      <c r="AN143" s="119">
        <f>-10.7-AM143</f>
        <v>19.900000000000002</v>
      </c>
      <c r="AO143" s="119">
        <f>72.6-AM143-AN143</f>
        <v>83.299999999999983</v>
      </c>
      <c r="AP143" s="62">
        <f t="shared" si="186"/>
        <v>-155.09999999999997</v>
      </c>
      <c r="AQ143" s="141">
        <v>-82.5</v>
      </c>
      <c r="AR143" s="119">
        <v>-21.8</v>
      </c>
      <c r="AS143" s="119">
        <f>12.8-AR143</f>
        <v>34.6</v>
      </c>
      <c r="AT143" s="142">
        <f>135.3-AS143-AR143</f>
        <v>122.50000000000001</v>
      </c>
      <c r="AU143" s="62">
        <f t="shared" si="187"/>
        <v>-141.30000000000001</v>
      </c>
      <c r="AV143" s="141">
        <v>-6</v>
      </c>
      <c r="AW143" s="119">
        <v>-11.8</v>
      </c>
      <c r="AX143" s="119">
        <f>52.5-AW143</f>
        <v>64.3</v>
      </c>
      <c r="AY143" s="119">
        <f>170.7-AX143-AW143</f>
        <v>118.19999999999999</v>
      </c>
      <c r="AZ143" s="62">
        <f t="shared" si="188"/>
        <v>-93.799999999999983</v>
      </c>
      <c r="BA143" s="141">
        <v>76.900000000000006</v>
      </c>
      <c r="BB143" s="62">
        <v>-55.1</v>
      </c>
      <c r="BC143" s="119">
        <f>10.4-BB143</f>
        <v>65.5</v>
      </c>
      <c r="BD143" s="119">
        <f>128.8-BC143-BB143</f>
        <v>118.4</v>
      </c>
      <c r="BE143" s="62">
        <f t="shared" si="189"/>
        <v>-178.1</v>
      </c>
      <c r="BF143" s="141">
        <v>-49.3</v>
      </c>
      <c r="BG143" s="62">
        <v>32.5</v>
      </c>
      <c r="BH143" s="62">
        <f>107.1-BG143</f>
        <v>74.599999999999994</v>
      </c>
      <c r="BI143" s="119">
        <f>132.6-BH143-BG143</f>
        <v>25.5</v>
      </c>
      <c r="BJ143" s="62">
        <f t="shared" si="190"/>
        <v>-133.39999999999998</v>
      </c>
      <c r="BK143" s="141">
        <v>-0.8</v>
      </c>
      <c r="BL143" s="62">
        <v>21.1</v>
      </c>
      <c r="BM143" s="62">
        <f>94.1-BL143</f>
        <v>73</v>
      </c>
      <c r="BN143" s="62">
        <f>136.8-BM143-BL143</f>
        <v>42.70000000000001</v>
      </c>
      <c r="BO143" s="62">
        <f t="shared" si="191"/>
        <v>-112.10000000000002</v>
      </c>
      <c r="BP143" s="141">
        <v>24.7</v>
      </c>
      <c r="BQ143" s="577">
        <v>55.9</v>
      </c>
      <c r="BR143" s="577">
        <f>144.3-BQ143</f>
        <v>88.4</v>
      </c>
      <c r="BS143" s="577">
        <f>290-BR143-BQ143</f>
        <v>145.69999999999999</v>
      </c>
      <c r="BT143" s="62">
        <f t="shared" si="192"/>
        <v>-174.1</v>
      </c>
      <c r="BU143" s="141">
        <v>115.9</v>
      </c>
      <c r="BV143" s="577">
        <v>-13.6</v>
      </c>
      <c r="BW143" s="613">
        <f>40.2-BV143</f>
        <v>53.800000000000004</v>
      </c>
      <c r="BX143" s="119">
        <f>157.7-BW143-BV143</f>
        <v>117.49999999999997</v>
      </c>
      <c r="BY143" s="62">
        <f t="shared" si="193"/>
        <v>-144.89999999999998</v>
      </c>
      <c r="BZ143" s="141">
        <v>12.8</v>
      </c>
      <c r="CA143" s="119">
        <f>+CA107-BZ107</f>
        <v>1.8851579224169654</v>
      </c>
      <c r="CB143" s="119">
        <f>+CB107-CA107</f>
        <v>43.534756851035809</v>
      </c>
      <c r="CC143" s="119">
        <f>+CC107-CB107</f>
        <v>155.53567698795848</v>
      </c>
      <c r="CD143" s="119">
        <f>+CD107-CC107</f>
        <v>-172.53953418402205</v>
      </c>
      <c r="CE143" s="141">
        <f>CA143+CB143+CC143+CD143</f>
        <v>28.416057577389211</v>
      </c>
      <c r="CF143" s="119">
        <f>+CF107-CE107</f>
        <v>21.86416590746046</v>
      </c>
      <c r="CG143" s="119">
        <f>+CG107-CF107</f>
        <v>47.412197915516003</v>
      </c>
      <c r="CH143" s="119">
        <f>+CH107-CG107</f>
        <v>156.64340599534228</v>
      </c>
      <c r="CI143" s="119">
        <f>+CI107-CH107</f>
        <v>-179.86519799093696</v>
      </c>
      <c r="CJ143" s="141">
        <f>CF143+CG143+CH143+CI143</f>
        <v>46.054571827381778</v>
      </c>
      <c r="CK143" s="119">
        <f>+CK107-CJ107</f>
        <v>5.1955692031287981</v>
      </c>
      <c r="CL143" s="119">
        <f>+CL107-CK107</f>
        <v>49.518353925167503</v>
      </c>
      <c r="CM143" s="119">
        <f>+CM107-CL107</f>
        <v>161.52167079535582</v>
      </c>
      <c r="CN143" s="119">
        <f>+CN107-CM107</f>
        <v>-187.56107996140634</v>
      </c>
      <c r="CO143" s="141">
        <f>CK143+CL143+CM143+CN143</f>
        <v>28.674513962245783</v>
      </c>
      <c r="CP143" s="119">
        <f>+CP107-CO107</f>
        <v>6.1546442137973827</v>
      </c>
      <c r="CQ143" s="119">
        <f>+CQ107-CP107</f>
        <v>51.648730421042615</v>
      </c>
      <c r="CR143" s="119">
        <f>+CR107-CQ107</f>
        <v>166.77354938389112</v>
      </c>
      <c r="CS143" s="119">
        <f>+CS107-CR107</f>
        <v>-195.42870336984731</v>
      </c>
      <c r="CT143" s="141">
        <f>CP143+CQ143+CR143+CS143</f>
        <v>29.148220648883807</v>
      </c>
      <c r="CU143" s="119">
        <f>+CU107-CT107</f>
        <v>5.0511491629931697</v>
      </c>
      <c r="CV143" s="119">
        <f>+CV107-CU107</f>
        <v>53.664297158651038</v>
      </c>
      <c r="CW143" s="119">
        <f>+CW107-CV107</f>
        <v>171.68091060520783</v>
      </c>
      <c r="CX143" s="119">
        <f>+CX107-CW107</f>
        <v>-202.84733928658966</v>
      </c>
      <c r="CY143" s="141">
        <f>CU143+CV143+CW143+CX143</f>
        <v>27.549017640262377</v>
      </c>
      <c r="CZ143" s="142"/>
      <c r="DA143" s="730"/>
      <c r="DB143" s="735"/>
      <c r="DC143" s="835"/>
      <c r="DD143" s="737"/>
      <c r="DF143" s="730"/>
      <c r="DG143" s="735"/>
      <c r="DH143" s="735"/>
      <c r="DI143" s="730"/>
      <c r="DJ143" s="730"/>
      <c r="DK143" s="730"/>
      <c r="DL143" s="730"/>
      <c r="DM143" s="730"/>
      <c r="DN143" s="730"/>
      <c r="DU143" s="48"/>
      <c r="DV143" s="48"/>
      <c r="DW143" s="730"/>
      <c r="DX143" s="730"/>
      <c r="DY143" s="730"/>
      <c r="DZ143" s="730"/>
      <c r="EA143" s="730"/>
    </row>
    <row r="144" spans="1:131" x14ac:dyDescent="0.2">
      <c r="A144" s="48"/>
      <c r="B144" s="48" t="s">
        <v>0</v>
      </c>
      <c r="C144" s="48"/>
      <c r="D144" s="217">
        <f>5.461-9.494+0.334</f>
        <v>-3.6989999999999994</v>
      </c>
      <c r="E144" s="217">
        <f>13.906-13.305+10.14-D144</f>
        <v>14.440000000000001</v>
      </c>
      <c r="F144" s="217">
        <f>23.845+39.989+24.458-D144-E144</f>
        <v>77.551000000000002</v>
      </c>
      <c r="G144" s="217">
        <f t="shared" si="179"/>
        <v>-79.841000000000008</v>
      </c>
      <c r="H144" s="218">
        <f>11.417+7.658-10.624</f>
        <v>8.4509999999999987</v>
      </c>
      <c r="I144" s="217">
        <f>7.449-56.971-7.541</f>
        <v>-57.063000000000002</v>
      </c>
      <c r="J144" s="217">
        <f>22.085+20.502-8.113-I144</f>
        <v>91.537000000000006</v>
      </c>
      <c r="K144" s="217">
        <f>24.103+59.966-1.644-I144-J144</f>
        <v>47.950999999999993</v>
      </c>
      <c r="L144" s="217">
        <f t="shared" si="180"/>
        <v>-42.625</v>
      </c>
      <c r="M144" s="218">
        <f>25.4+11.6+2.8</f>
        <v>39.799999999999997</v>
      </c>
      <c r="N144" s="217">
        <f>-14.033-35.655-2.977</f>
        <v>-52.664999999999999</v>
      </c>
      <c r="O144" s="217">
        <f>-2.2-3.9-0.7-N144</f>
        <v>45.865000000000002</v>
      </c>
      <c r="P144" s="217">
        <f>6.9+85.8-10.8-N144-O144</f>
        <v>88.699999999999989</v>
      </c>
      <c r="Q144" s="217">
        <f t="shared" si="181"/>
        <v>-115.39999999999999</v>
      </c>
      <c r="R144" s="218">
        <f>-2.4-35.1+4</f>
        <v>-33.5</v>
      </c>
      <c r="S144" s="217">
        <f>-9.7-12.2-7.7</f>
        <v>-29.599999999999998</v>
      </c>
      <c r="T144" s="217">
        <f>1-54+11.7-S144</f>
        <v>-11.7</v>
      </c>
      <c r="U144" s="217">
        <f>13.3+24.4-0.2-S144-T144</f>
        <v>78.8</v>
      </c>
      <c r="V144" s="217">
        <f t="shared" si="182"/>
        <v>-197</v>
      </c>
      <c r="W144" s="218">
        <f>-157.2+1-3.3</f>
        <v>-159.5</v>
      </c>
      <c r="X144" s="217">
        <f>1.9-17.6-17.7</f>
        <v>-33.4</v>
      </c>
      <c r="Y144" s="219">
        <f>13.1+61.4-31.2-X144</f>
        <v>76.699999999999989</v>
      </c>
      <c r="Z144" s="217">
        <f>-55.5+54.8+46.9-X144-Y144</f>
        <v>2.9000000000000057</v>
      </c>
      <c r="AA144" s="217">
        <f t="shared" si="183"/>
        <v>-107.19999999999999</v>
      </c>
      <c r="AB144" s="218">
        <f>-34.2+2.4-29.2</f>
        <v>-61</v>
      </c>
      <c r="AC144" s="217">
        <f>18.3-58.7+12.7</f>
        <v>-27.700000000000006</v>
      </c>
      <c r="AD144" s="217">
        <f>-65.5+59.1+9.5-AC144</f>
        <v>30.800000000000008</v>
      </c>
      <c r="AE144" s="217">
        <f>133.4+39.5+75.9-AC144-AD144</f>
        <v>245.7</v>
      </c>
      <c r="AF144" s="217">
        <f t="shared" si="184"/>
        <v>-331.7</v>
      </c>
      <c r="AG144" s="218">
        <f>+-95+12.1</f>
        <v>-82.9</v>
      </c>
      <c r="AH144" s="217">
        <f>-0.8+55.2+6</f>
        <v>60.400000000000006</v>
      </c>
      <c r="AI144" s="217">
        <f>17.6+8.8+21.6-AH144</f>
        <v>-12.400000000000006</v>
      </c>
      <c r="AJ144" s="217">
        <f>11.5+57.1+39.3-AH144-AI144</f>
        <v>59.899999999999991</v>
      </c>
      <c r="AK144" s="217">
        <f t="shared" si="185"/>
        <v>-236.59999999999997</v>
      </c>
      <c r="AL144" s="218">
        <f>-18.1-110.6</f>
        <v>-128.69999999999999</v>
      </c>
      <c r="AM144" s="217">
        <f>8.5-0.7-3.9</f>
        <v>3.9</v>
      </c>
      <c r="AN144" s="217">
        <f>13.2+39.7-AM144</f>
        <v>49.000000000000007</v>
      </c>
      <c r="AO144" s="217">
        <f>20.5+76-AM144-AN144</f>
        <v>43.599999999999987</v>
      </c>
      <c r="AP144" s="217">
        <f t="shared" si="186"/>
        <v>-272.2</v>
      </c>
      <c r="AQ144" s="218">
        <f>-7.1-168.6</f>
        <v>-175.7</v>
      </c>
      <c r="AR144" s="217">
        <f>71.8+23.6</f>
        <v>95.4</v>
      </c>
      <c r="AS144" s="217">
        <f>21.1+83-AR144</f>
        <v>8.6999999999999886</v>
      </c>
      <c r="AT144" s="220">
        <f>9.4+133.9+7.4-AS144-AR144</f>
        <v>46.600000000000023</v>
      </c>
      <c r="AU144" s="217">
        <f t="shared" si="187"/>
        <v>-100.30000000000001</v>
      </c>
      <c r="AV144" s="218">
        <f>10.6+44.6-4.8</f>
        <v>50.400000000000006</v>
      </c>
      <c r="AW144" s="217">
        <f>-1.2-19.9+27.1</f>
        <v>6.0000000000000036</v>
      </c>
      <c r="AX144" s="217">
        <f>2.9+3.7+15.5-AW144</f>
        <v>16.099999999999998</v>
      </c>
      <c r="AY144" s="217">
        <f>-6.7-26.4-7.2-AX144-AW144</f>
        <v>-62.400000000000006</v>
      </c>
      <c r="AZ144" s="217">
        <f t="shared" si="188"/>
        <v>56.800000000000004</v>
      </c>
      <c r="BA144" s="218">
        <f>-5.8-0.3+22.6</f>
        <v>16.5</v>
      </c>
      <c r="BB144" s="217">
        <f>-1.3-78.7+14.3</f>
        <v>-65.7</v>
      </c>
      <c r="BC144" s="217">
        <f>59.8+24.8-BB144</f>
        <v>150.30000000000001</v>
      </c>
      <c r="BD144" s="217">
        <f>30.9+19-BC144-BB144</f>
        <v>-34.700000000000003</v>
      </c>
      <c r="BE144" s="217">
        <f t="shared" si="189"/>
        <v>13.299999999999997</v>
      </c>
      <c r="BF144" s="218">
        <f>-5.5+58.1+10.6</f>
        <v>63.2</v>
      </c>
      <c r="BG144" s="219">
        <f>7.4-44-0.3</f>
        <v>-36.9</v>
      </c>
      <c r="BH144" s="219">
        <f>1.8+59.8-15.7-BG144</f>
        <v>82.799999999999983</v>
      </c>
      <c r="BI144" s="217">
        <f>-2.5+65.4+8.1-BH144-BG144</f>
        <v>25.100000000000016</v>
      </c>
      <c r="BJ144" s="217">
        <f t="shared" si="190"/>
        <v>11.600000000000001</v>
      </c>
      <c r="BK144" s="218">
        <f>36.3+44.7+1.6</f>
        <v>82.6</v>
      </c>
      <c r="BL144" s="219">
        <f>2.2-105.2</f>
        <v>-103</v>
      </c>
      <c r="BM144" s="219">
        <f>-1.4-22.5-29.5-BL144</f>
        <v>49.6</v>
      </c>
      <c r="BN144" s="219">
        <f>-128.1+4.3-24.1-BM144-BL144</f>
        <v>-94.5</v>
      </c>
      <c r="BO144" s="217">
        <f t="shared" si="191"/>
        <v>36.199999999999996</v>
      </c>
      <c r="BP144" s="218">
        <f>5.1-116.8</f>
        <v>-111.7</v>
      </c>
      <c r="BQ144" s="578">
        <f>6-75.4</f>
        <v>-69.400000000000006</v>
      </c>
      <c r="BR144" s="578">
        <f>2.1+28.5-25.6-BQ144</f>
        <v>74.400000000000006</v>
      </c>
      <c r="BS144" s="578">
        <f>-0.6+77.5-18.9-BR144-BQ144</f>
        <v>53.000000000000007</v>
      </c>
      <c r="BT144" s="217">
        <f t="shared" si="192"/>
        <v>25.9</v>
      </c>
      <c r="BU144" s="218">
        <f>106+16.2-38.3</f>
        <v>83.9</v>
      </c>
      <c r="BV144" s="578">
        <f>42.4-130.7+17.9</f>
        <v>-70.399999999999977</v>
      </c>
      <c r="BW144" s="614">
        <f>27.4-33.1+30.8-BV144</f>
        <v>95.499999999999972</v>
      </c>
      <c r="BX144" s="217">
        <f>-68.6+23.9-BW144-BV144</f>
        <v>-69.799999999999983</v>
      </c>
      <c r="BY144" s="217">
        <f t="shared" si="193"/>
        <v>-0.80000000000001137</v>
      </c>
      <c r="BZ144" s="218">
        <f>-71.6+26.1</f>
        <v>-45.499999999999993</v>
      </c>
      <c r="CA144" s="217">
        <f>+CA108-BZ108+CA113-BZ113</f>
        <v>-59.943924895207829</v>
      </c>
      <c r="CB144" s="217">
        <f>+CB108-CA108+CB113-CA113</f>
        <v>102.22894037306821</v>
      </c>
      <c r="CC144" s="217">
        <f>+CC108-CB108+CC113-CB113</f>
        <v>-13.570625897820264</v>
      </c>
      <c r="CD144" s="217">
        <f>+CD108-CC108+CD113-CC113</f>
        <v>13.801759743590992</v>
      </c>
      <c r="CE144" s="218">
        <f>CA144+CB144+CC144+CD144</f>
        <v>42.516149323631112</v>
      </c>
      <c r="CF144" s="217">
        <f>+CF108-CE108+CF113-CE113</f>
        <v>-67.607107155703261</v>
      </c>
      <c r="CG144" s="217">
        <f>+CG108-CF108+CG113-CF113</f>
        <v>108.92443627431555</v>
      </c>
      <c r="CH144" s="217">
        <f>+CH108-CG108+CH113-CG113</f>
        <v>-17.007563834366806</v>
      </c>
      <c r="CI144" s="217">
        <f>+CI108-CH108+CI113-CH113</f>
        <v>14.373465392283947</v>
      </c>
      <c r="CJ144" s="218">
        <f>CF144+CG144+CH144+CI144</f>
        <v>38.683230676529433</v>
      </c>
      <c r="CK144" s="217">
        <f>+CK108-CJ108+CK113-CJ113</f>
        <v>-75.740381102174638</v>
      </c>
      <c r="CL144" s="217">
        <f>+CL108-CK108+CL113-CK113</f>
        <v>114.8072826640082</v>
      </c>
      <c r="CM144" s="217">
        <f>+CM108-CL108+CM113-CL113</f>
        <v>-19.701349125211323</v>
      </c>
      <c r="CN144" s="217">
        <f>+CN108-CM108+CN113-CM113</f>
        <v>14.918288087348287</v>
      </c>
      <c r="CO144" s="218">
        <f>CK144+CL144+CM144+CN144</f>
        <v>34.283840523970525</v>
      </c>
      <c r="CP144" s="217">
        <f t="shared" ref="CP144:CX144" si="199">+CP108-CO108+CP113-CO113</f>
        <v>-80.734017191682142</v>
      </c>
      <c r="CQ144" s="217">
        <f t="shared" si="199"/>
        <v>120.45423326727564</v>
      </c>
      <c r="CR144" s="217">
        <f t="shared" si="199"/>
        <v>-22.131619346648904</v>
      </c>
      <c r="CS144" s="217">
        <f t="shared" si="199"/>
        <v>15.461538753091531</v>
      </c>
      <c r="CT144" s="218">
        <f>CP144+CQ144+CR144+CS144</f>
        <v>33.050135482036126</v>
      </c>
      <c r="CU144" s="217">
        <f t="shared" si="199"/>
        <v>-85.583795077261925</v>
      </c>
      <c r="CV144" s="217">
        <f t="shared" si="199"/>
        <v>125.88926777774657</v>
      </c>
      <c r="CW144" s="217">
        <f t="shared" si="199"/>
        <v>-24.512512665777308</v>
      </c>
      <c r="CX144" s="217">
        <f t="shared" si="199"/>
        <v>15.978949122128483</v>
      </c>
      <c r="CY144" s="218">
        <f>CU144+CV144+CW144+CX144</f>
        <v>31.771909156835818</v>
      </c>
      <c r="CZ144" s="222"/>
      <c r="DA144" s="730"/>
      <c r="DB144" s="735"/>
      <c r="DC144" s="835"/>
      <c r="DD144" s="737"/>
      <c r="DF144" s="730"/>
      <c r="DG144" s="735"/>
      <c r="DH144" s="735"/>
      <c r="DI144" s="730"/>
      <c r="DJ144" s="730"/>
      <c r="DK144" s="730"/>
      <c r="DL144" s="730"/>
      <c r="DM144" s="730"/>
      <c r="DN144" s="730"/>
      <c r="DU144" s="48"/>
      <c r="DV144" s="48"/>
      <c r="DW144" s="730"/>
      <c r="DX144" s="730"/>
      <c r="DY144" s="730"/>
      <c r="DZ144" s="730"/>
      <c r="EA144" s="730"/>
    </row>
    <row r="145" spans="1:131" s="492" customFormat="1" x14ac:dyDescent="0.2">
      <c r="A145" s="89" t="s">
        <v>148</v>
      </c>
      <c r="B145" s="89"/>
      <c r="C145" s="89"/>
      <c r="D145" s="84">
        <v>-6.3630000000000004</v>
      </c>
      <c r="E145" s="84">
        <f>88.415-D145</f>
        <v>94.778000000000006</v>
      </c>
      <c r="F145" s="84">
        <f>179.522-D145-E145</f>
        <v>91.106999999999985</v>
      </c>
      <c r="G145" s="84">
        <f t="shared" si="179"/>
        <v>160.78500000000003</v>
      </c>
      <c r="H145" s="85">
        <v>340.30700000000002</v>
      </c>
      <c r="I145" s="84">
        <v>-46.457999999999998</v>
      </c>
      <c r="J145" s="84">
        <f>54.15-I145</f>
        <v>100.608</v>
      </c>
      <c r="K145" s="84">
        <f>81.422-I145-J145</f>
        <v>27.271999999999991</v>
      </c>
      <c r="L145" s="84">
        <f t="shared" si="180"/>
        <v>239.27800000000002</v>
      </c>
      <c r="M145" s="85">
        <v>320.7</v>
      </c>
      <c r="N145" s="84">
        <v>60.026000000000003</v>
      </c>
      <c r="O145" s="84">
        <f>174.1-N145</f>
        <v>114.07399999999998</v>
      </c>
      <c r="P145" s="84">
        <f>282.3-N145-O145</f>
        <v>108.20000000000002</v>
      </c>
      <c r="Q145" s="84">
        <f t="shared" si="181"/>
        <v>153.69999999999996</v>
      </c>
      <c r="R145" s="85">
        <v>436</v>
      </c>
      <c r="S145" s="84">
        <v>5.6</v>
      </c>
      <c r="T145" s="84">
        <f>84.9-S145</f>
        <v>79.300000000000011</v>
      </c>
      <c r="U145" s="84">
        <f>118.1-S145-T145</f>
        <v>33.199999999999989</v>
      </c>
      <c r="V145" s="84">
        <f t="shared" si="182"/>
        <v>195.09999999999997</v>
      </c>
      <c r="W145" s="85">
        <v>313.2</v>
      </c>
      <c r="X145" s="84">
        <v>-86.1</v>
      </c>
      <c r="Y145" s="84">
        <f>177.7-X145</f>
        <v>263.79999999999995</v>
      </c>
      <c r="Z145" s="84">
        <f>252.3-X145-Y145</f>
        <v>74.600000000000023</v>
      </c>
      <c r="AA145" s="84">
        <f t="shared" si="183"/>
        <v>267.5</v>
      </c>
      <c r="AB145" s="85">
        <v>519.79999999999995</v>
      </c>
      <c r="AC145" s="84">
        <v>-32.700000000000003</v>
      </c>
      <c r="AD145" s="84">
        <f>176.8-AC145</f>
        <v>209.5</v>
      </c>
      <c r="AE145" s="84">
        <f>330.9-AC145-AD145</f>
        <v>154.09999999999997</v>
      </c>
      <c r="AF145" s="84">
        <f t="shared" si="184"/>
        <v>176.00000000000006</v>
      </c>
      <c r="AG145" s="85">
        <v>506.9</v>
      </c>
      <c r="AH145" s="84">
        <v>-54.8</v>
      </c>
      <c r="AI145" s="84">
        <f>97.4-AH145</f>
        <v>152.19999999999999</v>
      </c>
      <c r="AJ145" s="84">
        <f>188.7-AH145-AI145</f>
        <v>91.300000000000011</v>
      </c>
      <c r="AK145" s="84">
        <f t="shared" si="185"/>
        <v>213.8</v>
      </c>
      <c r="AL145" s="85">
        <v>402.5</v>
      </c>
      <c r="AM145" s="84">
        <v>59.7</v>
      </c>
      <c r="AN145" s="84">
        <f>305.7-AM145</f>
        <v>246</v>
      </c>
      <c r="AO145" s="84">
        <f>369-AM145-AN145</f>
        <v>63.300000000000011</v>
      </c>
      <c r="AP145" s="84">
        <f t="shared" si="186"/>
        <v>250.2999999999999</v>
      </c>
      <c r="AQ145" s="85">
        <v>619.29999999999995</v>
      </c>
      <c r="AR145" s="84">
        <v>241.3</v>
      </c>
      <c r="AS145" s="84">
        <f>517.4-AR145</f>
        <v>276.09999999999997</v>
      </c>
      <c r="AT145" s="86">
        <f>640.8-AS145-AR145</f>
        <v>123.39999999999998</v>
      </c>
      <c r="AU145" s="84">
        <f t="shared" si="187"/>
        <v>143.30000000000001</v>
      </c>
      <c r="AV145" s="85">
        <v>784.1</v>
      </c>
      <c r="AW145" s="84">
        <v>96.4</v>
      </c>
      <c r="AX145" s="84">
        <f>368.5-AW145</f>
        <v>272.10000000000002</v>
      </c>
      <c r="AY145" s="84">
        <f>389-AX145-AW145</f>
        <v>20.499999999999972</v>
      </c>
      <c r="AZ145" s="84">
        <f t="shared" si="188"/>
        <v>167.29999999999998</v>
      </c>
      <c r="BA145" s="85">
        <v>556.29999999999995</v>
      </c>
      <c r="BB145" s="84">
        <v>3.3</v>
      </c>
      <c r="BC145" s="84">
        <f>489-BB145</f>
        <v>485.7</v>
      </c>
      <c r="BD145" s="84">
        <f>629.1-BC145-BB145</f>
        <v>140.10000000000002</v>
      </c>
      <c r="BE145" s="84">
        <f t="shared" si="189"/>
        <v>197.10000000000008</v>
      </c>
      <c r="BF145" s="85">
        <v>826.2</v>
      </c>
      <c r="BG145" s="87">
        <v>232.2</v>
      </c>
      <c r="BH145" s="87">
        <f>668.1-BG145</f>
        <v>435.90000000000003</v>
      </c>
      <c r="BI145" s="84">
        <f>750.1-BH145-BG145</f>
        <v>82</v>
      </c>
      <c r="BJ145" s="84">
        <f t="shared" si="190"/>
        <v>330.89999999999992</v>
      </c>
      <c r="BK145" s="85">
        <v>1081</v>
      </c>
      <c r="BL145" s="87">
        <v>205.7</v>
      </c>
      <c r="BM145" s="87">
        <f>803.1-BL145</f>
        <v>597.40000000000009</v>
      </c>
      <c r="BN145" s="87">
        <f>1091.6-BM145-BL145</f>
        <v>288.49999999999983</v>
      </c>
      <c r="BO145" s="84">
        <f t="shared" si="191"/>
        <v>322.10000000000008</v>
      </c>
      <c r="BP145" s="85">
        <v>1413.7</v>
      </c>
      <c r="BQ145" s="87">
        <v>345.9</v>
      </c>
      <c r="BR145" s="87">
        <f>1044.9-BQ145</f>
        <v>699.00000000000011</v>
      </c>
      <c r="BS145" s="87">
        <f>1415.7-BR145-BQ145</f>
        <v>370.79999999999995</v>
      </c>
      <c r="BT145" s="84">
        <f t="shared" si="192"/>
        <v>280.29999999999984</v>
      </c>
      <c r="BU145" s="85">
        <v>1696</v>
      </c>
      <c r="BV145" s="87">
        <v>381.6</v>
      </c>
      <c r="BW145" s="84">
        <f>1102.9-BV145</f>
        <v>721.30000000000007</v>
      </c>
      <c r="BX145" s="84">
        <f>1468.4-BW145-BV145</f>
        <v>365.5</v>
      </c>
      <c r="BY145" s="84">
        <f t="shared" si="193"/>
        <v>463.00000000000011</v>
      </c>
      <c r="BZ145" s="85">
        <v>1931.4</v>
      </c>
      <c r="CA145" s="84">
        <f t="shared" ref="CA145:CY145" ca="1" si="200">SUM(CA132:CA144)</f>
        <v>628.4154735946081</v>
      </c>
      <c r="CB145" s="84">
        <f t="shared" ca="1" si="200"/>
        <v>769.54106064354653</v>
      </c>
      <c r="CC145" s="84">
        <f t="shared" ca="1" si="200"/>
        <v>574.96332917327436</v>
      </c>
      <c r="CD145" s="84">
        <f t="shared" ca="1" si="200"/>
        <v>493.46633113279995</v>
      </c>
      <c r="CE145" s="85">
        <f t="shared" ca="1" si="200"/>
        <v>2466.3861945442277</v>
      </c>
      <c r="CF145" s="84">
        <f t="shared" ca="1" si="200"/>
        <v>718.13144285320243</v>
      </c>
      <c r="CG145" s="84">
        <f t="shared" ca="1" si="200"/>
        <v>826.98122293978463</v>
      </c>
      <c r="CH145" s="84">
        <f t="shared" ca="1" si="200"/>
        <v>614.3977779810848</v>
      </c>
      <c r="CI145" s="84">
        <f t="shared" ca="1" si="200"/>
        <v>522.87314929332149</v>
      </c>
      <c r="CJ145" s="85">
        <f t="shared" ca="1" si="200"/>
        <v>2682.3835930673936</v>
      </c>
      <c r="CK145" s="84">
        <f t="shared" ca="1" si="200"/>
        <v>770.31166545161761</v>
      </c>
      <c r="CL145" s="84">
        <f t="shared" ca="1" si="200"/>
        <v>904.34696386181963</v>
      </c>
      <c r="CM145" s="84">
        <f t="shared" ca="1" si="200"/>
        <v>675.2991323317724</v>
      </c>
      <c r="CN145" s="84">
        <f t="shared" ca="1" si="200"/>
        <v>577.05400551911589</v>
      </c>
      <c r="CO145" s="85">
        <f t="shared" ca="1" si="200"/>
        <v>2927.0117671643252</v>
      </c>
      <c r="CP145" s="84">
        <f t="shared" ca="1" si="200"/>
        <v>784.61911228295332</v>
      </c>
      <c r="CQ145" s="84">
        <f t="shared" ca="1" si="200"/>
        <v>956.5031427054862</v>
      </c>
      <c r="CR145" s="84">
        <f t="shared" ca="1" si="200"/>
        <v>717.84137334763795</v>
      </c>
      <c r="CS145" s="84">
        <f t="shared" ca="1" si="200"/>
        <v>609.71447778840786</v>
      </c>
      <c r="CT145" s="85">
        <f t="shared" ca="1" si="200"/>
        <v>3068.6781061244883</v>
      </c>
      <c r="CU145" s="84">
        <f t="shared" ca="1" si="200"/>
        <v>827.504174890645</v>
      </c>
      <c r="CV145" s="84">
        <f t="shared" ca="1" si="200"/>
        <v>1003.5310254472649</v>
      </c>
      <c r="CW145" s="84">
        <f t="shared" ca="1" si="200"/>
        <v>757.10789104679884</v>
      </c>
      <c r="CX145" s="84">
        <f t="shared" ca="1" si="200"/>
        <v>639.84542897498295</v>
      </c>
      <c r="CY145" s="85">
        <f t="shared" ca="1" si="200"/>
        <v>3227.9885203596905</v>
      </c>
      <c r="CZ145" s="319"/>
      <c r="DA145" s="833"/>
      <c r="DB145" s="738"/>
      <c r="DC145" s="797"/>
      <c r="DD145" s="739"/>
      <c r="DE145" s="740"/>
      <c r="DF145" s="739"/>
      <c r="DG145" s="738"/>
      <c r="DH145" s="738"/>
      <c r="DI145" s="739"/>
      <c r="DJ145" s="739"/>
      <c r="DK145" s="739"/>
      <c r="DL145" s="739"/>
      <c r="DM145" s="739"/>
      <c r="DN145" s="739"/>
      <c r="DO145"/>
      <c r="DP145"/>
      <c r="DQ145"/>
      <c r="DR145"/>
      <c r="DS145"/>
      <c r="DT145"/>
      <c r="DU145" s="89"/>
      <c r="DV145" s="89"/>
      <c r="DW145" s="739"/>
      <c r="DX145" s="739"/>
      <c r="DY145" s="739"/>
      <c r="DZ145" s="739"/>
      <c r="EA145" s="739"/>
    </row>
    <row r="146" spans="1:131" x14ac:dyDescent="0.2">
      <c r="A146" s="48"/>
      <c r="B146" s="48"/>
      <c r="C146" s="48"/>
      <c r="D146" s="119"/>
      <c r="E146" s="62"/>
      <c r="F146" s="223"/>
      <c r="G146" s="119"/>
      <c r="H146" s="141"/>
      <c r="I146" s="119"/>
      <c r="J146" s="119"/>
      <c r="K146" s="119"/>
      <c r="L146" s="119"/>
      <c r="M146" s="141"/>
      <c r="N146" s="119"/>
      <c r="O146" s="119"/>
      <c r="P146" s="119"/>
      <c r="Q146" s="119"/>
      <c r="R146" s="141"/>
      <c r="S146" s="119"/>
      <c r="T146" s="119"/>
      <c r="U146" s="119"/>
      <c r="V146" s="119"/>
      <c r="W146" s="224"/>
      <c r="X146" s="198"/>
      <c r="Y146" s="198"/>
      <c r="Z146" s="198"/>
      <c r="AA146" s="198"/>
      <c r="AB146" s="152"/>
      <c r="AC146" s="198"/>
      <c r="AD146" s="198"/>
      <c r="AE146" s="198"/>
      <c r="AF146" s="198"/>
      <c r="AG146" s="152"/>
      <c r="AH146" s="143"/>
      <c r="AI146" s="143"/>
      <c r="AJ146" s="147"/>
      <c r="AK146" s="143"/>
      <c r="AL146" s="144"/>
      <c r="AM146" s="143"/>
      <c r="AN146" s="143"/>
      <c r="AO146" s="147"/>
      <c r="AP146" s="143"/>
      <c r="AQ146" s="144"/>
      <c r="AR146" s="143"/>
      <c r="AS146" s="143"/>
      <c r="AT146" s="147"/>
      <c r="AU146" s="143"/>
      <c r="AV146" s="144"/>
      <c r="AW146" s="143"/>
      <c r="AX146" s="143"/>
      <c r="AY146" s="147"/>
      <c r="AZ146" s="143"/>
      <c r="BA146" s="144"/>
      <c r="BB146" s="143"/>
      <c r="BC146" s="143"/>
      <c r="BD146" s="147"/>
      <c r="BE146" s="143"/>
      <c r="BF146" s="144"/>
      <c r="BG146" s="143"/>
      <c r="BH146" s="143"/>
      <c r="BI146" s="147"/>
      <c r="BJ146" s="143"/>
      <c r="BK146" s="144"/>
      <c r="BL146" s="70"/>
      <c r="BM146" s="70"/>
      <c r="BN146" s="546"/>
      <c r="BO146" s="143"/>
      <c r="BP146" s="144"/>
      <c r="BQ146" s="71"/>
      <c r="BR146" s="151"/>
      <c r="BS146" s="70"/>
      <c r="BT146" s="151"/>
      <c r="BU146" s="144"/>
      <c r="BV146" s="71"/>
      <c r="BW146" s="151"/>
      <c r="BX146" s="151"/>
      <c r="BY146" s="151"/>
      <c r="BZ146" s="144"/>
      <c r="CA146" s="421"/>
      <c r="CB146" s="531"/>
      <c r="CC146" s="151"/>
      <c r="CD146" s="151"/>
      <c r="CE146" s="407"/>
      <c r="CF146" s="421"/>
      <c r="CG146" s="151"/>
      <c r="CH146" s="151"/>
      <c r="CI146" s="151"/>
      <c r="CJ146" s="407"/>
      <c r="CK146" s="421"/>
      <c r="CL146" s="151"/>
      <c r="CM146" s="151"/>
      <c r="CN146" s="151"/>
      <c r="CO146" s="152"/>
      <c r="CP146" s="421"/>
      <c r="CQ146" s="151"/>
      <c r="CR146" s="151"/>
      <c r="CS146" s="151"/>
      <c r="CT146" s="152"/>
      <c r="CU146" s="151"/>
      <c r="CV146" s="151"/>
      <c r="CW146" s="151"/>
      <c r="CX146" s="151"/>
      <c r="CY146" s="152"/>
      <c r="CZ146" s="154"/>
      <c r="DA146" s="730"/>
      <c r="DB146" s="741"/>
      <c r="DC146" s="837"/>
      <c r="DD146" s="730"/>
      <c r="DF146" s="730"/>
      <c r="DG146" s="741"/>
      <c r="DH146" s="741"/>
      <c r="DI146" s="730"/>
      <c r="DJ146" s="730"/>
      <c r="DK146" s="730"/>
      <c r="DL146" s="730"/>
      <c r="DM146" s="730"/>
      <c r="DN146" s="730"/>
      <c r="DU146" s="48"/>
      <c r="DV146" s="48"/>
      <c r="DW146" s="730"/>
      <c r="DX146" s="730"/>
      <c r="DY146" s="730"/>
      <c r="DZ146" s="730"/>
      <c r="EA146" s="730"/>
    </row>
    <row r="147" spans="1:131" x14ac:dyDescent="0.2">
      <c r="A147" s="48" t="s">
        <v>149</v>
      </c>
      <c r="B147" s="48"/>
      <c r="C147" s="48"/>
      <c r="D147" s="119"/>
      <c r="E147" s="62"/>
      <c r="F147" s="119"/>
      <c r="G147" s="119"/>
      <c r="H147" s="141"/>
      <c r="I147" s="119"/>
      <c r="J147" s="119"/>
      <c r="K147" s="119"/>
      <c r="L147" s="119"/>
      <c r="M147" s="225"/>
      <c r="N147" s="119"/>
      <c r="O147" s="119"/>
      <c r="P147" s="119"/>
      <c r="Q147" s="119"/>
      <c r="R147" s="141"/>
      <c r="S147" s="119"/>
      <c r="T147" s="119"/>
      <c r="U147" s="119"/>
      <c r="V147" s="119"/>
      <c r="W147" s="141"/>
      <c r="X147" s="143"/>
      <c r="Y147" s="143"/>
      <c r="Z147" s="143"/>
      <c r="AA147" s="143"/>
      <c r="AB147" s="144"/>
      <c r="AC147" s="143"/>
      <c r="AD147" s="143"/>
      <c r="AE147" s="143"/>
      <c r="AF147" s="143"/>
      <c r="AG147" s="144"/>
      <c r="AH147" s="143"/>
      <c r="AI147" s="143"/>
      <c r="AJ147" s="143"/>
      <c r="AK147" s="143"/>
      <c r="AL147" s="144"/>
      <c r="AM147" s="143"/>
      <c r="AN147" s="143"/>
      <c r="AO147" s="143"/>
      <c r="AP147" s="143"/>
      <c r="AQ147" s="144"/>
      <c r="AR147" s="143"/>
      <c r="AS147" s="143"/>
      <c r="AT147" s="147"/>
      <c r="AU147" s="143"/>
      <c r="AV147" s="144"/>
      <c r="AW147" s="143"/>
      <c r="AX147" s="143"/>
      <c r="AY147" s="143"/>
      <c r="AZ147" s="143"/>
      <c r="BA147" s="144"/>
      <c r="BB147" s="143"/>
      <c r="BC147" s="143"/>
      <c r="BD147" s="143"/>
      <c r="BE147" s="143"/>
      <c r="BF147" s="144"/>
      <c r="BG147" s="143"/>
      <c r="BH147" s="226"/>
      <c r="BI147" s="143"/>
      <c r="BJ147" s="143"/>
      <c r="BK147" s="407"/>
      <c r="BL147" s="70"/>
      <c r="BM147" s="70"/>
      <c r="BN147" s="70"/>
      <c r="BO147" s="143"/>
      <c r="BP147" s="407"/>
      <c r="BQ147" s="70"/>
      <c r="BR147" s="143"/>
      <c r="BS147" s="70"/>
      <c r="BT147" s="143"/>
      <c r="BU147" s="407"/>
      <c r="BV147" s="70"/>
      <c r="BW147" s="143"/>
      <c r="BX147" s="143"/>
      <c r="BY147" s="143"/>
      <c r="BZ147" s="407"/>
      <c r="CA147" s="143"/>
      <c r="CB147" s="143"/>
      <c r="CC147" s="143"/>
      <c r="CD147" s="143"/>
      <c r="CE147" s="407"/>
      <c r="CF147" s="143"/>
      <c r="CG147" s="143"/>
      <c r="CH147" s="143"/>
      <c r="CI147" s="143"/>
      <c r="CJ147" s="407"/>
      <c r="CK147" s="143"/>
      <c r="CL147" s="143"/>
      <c r="CM147" s="143"/>
      <c r="CN147" s="143"/>
      <c r="CO147" s="144"/>
      <c r="CP147" s="143"/>
      <c r="CQ147" s="143"/>
      <c r="CR147" s="143"/>
      <c r="CS147" s="143"/>
      <c r="CT147" s="144"/>
      <c r="CU147" s="143"/>
      <c r="CV147" s="143"/>
      <c r="CW147" s="143"/>
      <c r="CX147" s="143"/>
      <c r="CY147" s="144"/>
      <c r="CZ147" s="147"/>
      <c r="DA147" s="730"/>
      <c r="DB147" s="741"/>
      <c r="DC147" s="837"/>
      <c r="DD147" s="730"/>
      <c r="DF147" s="730"/>
      <c r="DG147" s="666"/>
      <c r="DH147" s="741"/>
      <c r="DI147" s="730"/>
      <c r="DJ147" s="730"/>
      <c r="DK147" s="730"/>
      <c r="DL147" s="730"/>
      <c r="DM147" s="730"/>
      <c r="DN147" s="730"/>
      <c r="DU147" s="48"/>
      <c r="DV147" s="48"/>
      <c r="DW147" s="730"/>
      <c r="DX147" s="730"/>
      <c r="DY147" s="730"/>
      <c r="DZ147" s="730"/>
      <c r="EA147" s="730"/>
    </row>
    <row r="148" spans="1:131" x14ac:dyDescent="0.2">
      <c r="A148" s="48"/>
      <c r="B148" s="48" t="s">
        <v>150</v>
      </c>
      <c r="C148" s="48"/>
      <c r="D148" s="62">
        <v>-1067.694</v>
      </c>
      <c r="E148" s="62">
        <f>-1069.166-D148</f>
        <v>-1.47199999999998</v>
      </c>
      <c r="F148" s="62">
        <f>-1070.074-D148-E148</f>
        <v>-0.90800000000012915</v>
      </c>
      <c r="G148" s="62">
        <f>+H148-D148-E148-F148</f>
        <v>0.60400000000004184</v>
      </c>
      <c r="H148" s="178">
        <v>-1069.47</v>
      </c>
      <c r="I148" s="62">
        <v>0</v>
      </c>
      <c r="J148" s="62">
        <f>0-I148</f>
        <v>0</v>
      </c>
      <c r="K148" s="62">
        <f>-8.899-I148-J148</f>
        <v>-8.8989999999999991</v>
      </c>
      <c r="L148" s="62">
        <f>+M148-I148-J148-K148</f>
        <v>-1043.6010000000001</v>
      </c>
      <c r="M148" s="178">
        <v>-1052.5</v>
      </c>
      <c r="N148" s="62">
        <v>0</v>
      </c>
      <c r="O148" s="62">
        <f>0-N148</f>
        <v>0</v>
      </c>
      <c r="P148" s="62">
        <f>-45.8-N148-O148</f>
        <v>-45.8</v>
      </c>
      <c r="Q148" s="62">
        <f>+R148-N148-O148-P148</f>
        <v>-0.10000000000000142</v>
      </c>
      <c r="R148" s="178">
        <v>-45.9</v>
      </c>
      <c r="S148" s="62">
        <v>0</v>
      </c>
      <c r="T148" s="62">
        <f>-1091.8-S148</f>
        <v>-1091.8</v>
      </c>
      <c r="U148" s="62">
        <f>-1093.7-S148-T148</f>
        <v>-1.9000000000000909</v>
      </c>
      <c r="V148" s="62">
        <f>+W148-S148-T148-U148</f>
        <v>0</v>
      </c>
      <c r="W148" s="178">
        <v>-1093.7</v>
      </c>
      <c r="X148" s="62">
        <v>-385.5</v>
      </c>
      <c r="Y148" s="62">
        <f>-386.3-X148</f>
        <v>-0.80000000000001137</v>
      </c>
      <c r="Z148" s="62">
        <f>-389.7-X148-Y148</f>
        <v>-3.3999999999999773</v>
      </c>
      <c r="AA148" s="62">
        <f>+AB148-X148-Y148-Z148</f>
        <v>-912.30000000000007</v>
      </c>
      <c r="AB148" s="178">
        <v>-1302</v>
      </c>
      <c r="AC148" s="62">
        <v>-2.1</v>
      </c>
      <c r="AD148" s="62">
        <f>0.6-AC148</f>
        <v>2.7</v>
      </c>
      <c r="AE148" s="62">
        <f>0.2-AC148-AD148</f>
        <v>-0.39999999999999991</v>
      </c>
      <c r="AF148" s="62">
        <f>+AG148-AC148-AD148-AE148</f>
        <v>-0.10000000000000009</v>
      </c>
      <c r="AG148" s="178">
        <v>0.1</v>
      </c>
      <c r="AH148" s="62">
        <v>0</v>
      </c>
      <c r="AI148" s="62">
        <v>0</v>
      </c>
      <c r="AJ148" s="62">
        <v>0</v>
      </c>
      <c r="AK148" s="62">
        <f>+AL148-AH148-AI148-AJ148</f>
        <v>0</v>
      </c>
      <c r="AL148" s="178">
        <v>0</v>
      </c>
      <c r="AM148" s="62">
        <v>0</v>
      </c>
      <c r="AN148" s="62">
        <v>0</v>
      </c>
      <c r="AO148" s="62">
        <v>0</v>
      </c>
      <c r="AP148" s="62">
        <f ca="1">+AQ148-AM148-AN148-AO148</f>
        <v>0</v>
      </c>
      <c r="AQ148" s="178">
        <f ca="1">SUM(AM148:AP148)</f>
        <v>0</v>
      </c>
      <c r="AR148" s="62">
        <v>0</v>
      </c>
      <c r="AS148" s="62">
        <v>0</v>
      </c>
      <c r="AT148" s="179">
        <f>-51.5-AS148-AR148</f>
        <v>-51.5</v>
      </c>
      <c r="AU148" s="62">
        <f>+AV148-AR148-AS148-AT148</f>
        <v>0</v>
      </c>
      <c r="AV148" s="178">
        <v>-51.5</v>
      </c>
      <c r="AW148" s="62">
        <v>0</v>
      </c>
      <c r="AX148" s="62">
        <f>-159.7-AW148</f>
        <v>-159.69999999999999</v>
      </c>
      <c r="AY148" s="62">
        <f>-159.3-AX148-AW148</f>
        <v>0.39999999999997726</v>
      </c>
      <c r="AZ148" s="62">
        <f>+BA148-AW148-AX148-AY148</f>
        <v>0</v>
      </c>
      <c r="BA148" s="178">
        <v>-159.30000000000001</v>
      </c>
      <c r="BB148" s="62">
        <v>0</v>
      </c>
      <c r="BC148" s="62">
        <f>-4672.9-BB148</f>
        <v>-4672.8999999999996</v>
      </c>
      <c r="BD148" s="62">
        <f>-4681-BC148-BB148</f>
        <v>-8.1000000000003638</v>
      </c>
      <c r="BE148" s="62">
        <f>+BF148-BB148-BC148-BD148</f>
        <v>-0.3000000000001819</v>
      </c>
      <c r="BF148" s="178">
        <v>-4681.3</v>
      </c>
      <c r="BG148" s="62">
        <v>0</v>
      </c>
      <c r="BH148" s="62">
        <v>0</v>
      </c>
      <c r="BI148" s="62">
        <f>-21.4-BH148-BG148</f>
        <v>-21.4</v>
      </c>
      <c r="BJ148" s="62">
        <f>+BK148-BG148-BH148-BI148</f>
        <v>-288.90000000000003</v>
      </c>
      <c r="BK148" s="178">
        <v>-310.3</v>
      </c>
      <c r="BL148" s="62">
        <v>0</v>
      </c>
      <c r="BM148" s="62">
        <f>-317.9-BL148</f>
        <v>-317.89999999999998</v>
      </c>
      <c r="BN148" s="62">
        <f>-317.9-BM148-BL148</f>
        <v>0</v>
      </c>
      <c r="BO148" s="62">
        <f>+BP148-BL148-BM148-BN148</f>
        <v>-998.50000000000011</v>
      </c>
      <c r="BP148" s="178">
        <v>-1316.4</v>
      </c>
      <c r="BQ148" s="577">
        <v>-284.89999999999998</v>
      </c>
      <c r="BR148" s="62">
        <f>-284.9-BQ148</f>
        <v>0</v>
      </c>
      <c r="BS148" s="577">
        <f>-542.2-BR148-BQ148</f>
        <v>-257.30000000000007</v>
      </c>
      <c r="BT148" s="62">
        <f>+BU148-BQ148-BR148-BS148</f>
        <v>-568.79999999999995</v>
      </c>
      <c r="BU148" s="178">
        <v>-1111</v>
      </c>
      <c r="BV148" s="577">
        <v>0</v>
      </c>
      <c r="BW148" s="62">
        <f>-131.8-BV148</f>
        <v>-131.80000000000001</v>
      </c>
      <c r="BX148" s="62">
        <f>-131.9-BW148-BV148</f>
        <v>-9.9999999999994316E-2</v>
      </c>
      <c r="BY148" s="62">
        <f>+BZ148-BV148-BW148-BX148</f>
        <v>-18.199999999999989</v>
      </c>
      <c r="BZ148" s="178">
        <v>-150.1</v>
      </c>
      <c r="CA148" s="62">
        <v>0</v>
      </c>
      <c r="CB148" s="62">
        <v>0</v>
      </c>
      <c r="CC148" s="62">
        <v>0</v>
      </c>
      <c r="CD148" s="62">
        <v>0</v>
      </c>
      <c r="CE148" s="178">
        <f>SUM(CA148:CD148)</f>
        <v>0</v>
      </c>
      <c r="CF148" s="62">
        <v>0</v>
      </c>
      <c r="CG148" s="62">
        <v>0</v>
      </c>
      <c r="CH148" s="62">
        <v>0</v>
      </c>
      <c r="CI148" s="62">
        <v>0</v>
      </c>
      <c r="CJ148" s="178">
        <f>SUM(CF148:CI148)</f>
        <v>0</v>
      </c>
      <c r="CK148" s="62">
        <v>0</v>
      </c>
      <c r="CL148" s="62">
        <v>0</v>
      </c>
      <c r="CM148" s="62">
        <v>0</v>
      </c>
      <c r="CN148" s="62">
        <v>0</v>
      </c>
      <c r="CO148" s="178">
        <f>SUM(CK148:CN148)</f>
        <v>0</v>
      </c>
      <c r="CP148" s="62">
        <v>0</v>
      </c>
      <c r="CQ148" s="62">
        <v>0</v>
      </c>
      <c r="CR148" s="62">
        <v>0</v>
      </c>
      <c r="CS148" s="62">
        <v>0</v>
      </c>
      <c r="CT148" s="178">
        <f>SUM(CP148:CS148)</f>
        <v>0</v>
      </c>
      <c r="CU148" s="62">
        <v>0</v>
      </c>
      <c r="CV148" s="62">
        <v>0</v>
      </c>
      <c r="CW148" s="62">
        <v>0</v>
      </c>
      <c r="CX148" s="62">
        <v>0</v>
      </c>
      <c r="CY148" s="178">
        <f>SUM(CU148:CX148)</f>
        <v>0</v>
      </c>
      <c r="CZ148" s="179"/>
      <c r="DA148" s="730"/>
      <c r="DB148" s="735"/>
      <c r="DC148" s="735"/>
      <c r="DD148" s="723"/>
      <c r="DF148" s="730"/>
      <c r="DG148" s="666"/>
      <c r="DH148" s="735"/>
      <c r="DI148" s="730"/>
      <c r="DJ148" s="730"/>
      <c r="DK148" s="730"/>
      <c r="DL148" s="730"/>
      <c r="DM148" s="730"/>
      <c r="DN148" s="730"/>
      <c r="DU148" s="48"/>
      <c r="DV148" s="48"/>
      <c r="DW148" s="730"/>
      <c r="DX148" s="730"/>
      <c r="DY148" s="730"/>
      <c r="DZ148" s="730"/>
      <c r="EA148" s="730"/>
    </row>
    <row r="149" spans="1:131" x14ac:dyDescent="0.2">
      <c r="A149" s="48"/>
      <c r="B149" s="418" t="s">
        <v>151</v>
      </c>
      <c r="C149" s="48"/>
      <c r="D149" s="62">
        <v>-18.091000000000001</v>
      </c>
      <c r="E149" s="62">
        <f>-46.444-D149</f>
        <v>-28.353000000000002</v>
      </c>
      <c r="F149" s="62">
        <f>-70.584-D149-E149</f>
        <v>-24.14</v>
      </c>
      <c r="G149" s="62">
        <f>+H149-D149-E149-F149</f>
        <v>-34.509999999999984</v>
      </c>
      <c r="H149" s="178">
        <v>-105.09399999999999</v>
      </c>
      <c r="I149" s="62">
        <v>-22.113</v>
      </c>
      <c r="J149" s="62">
        <f>-50.91-I149</f>
        <v>-28.796999999999997</v>
      </c>
      <c r="K149" s="62">
        <f>-78.356-I149-J149</f>
        <v>-27.445999999999998</v>
      </c>
      <c r="L149" s="62">
        <f>+M149-I149-J149-K149</f>
        <v>-41.344000000000008</v>
      </c>
      <c r="M149" s="178">
        <v>-119.7</v>
      </c>
      <c r="N149" s="62">
        <v>-31.84</v>
      </c>
      <c r="O149" s="62">
        <f>-63-N149</f>
        <v>-31.16</v>
      </c>
      <c r="P149" s="62">
        <f>-91.6-N149-O149</f>
        <v>-28.599999999999991</v>
      </c>
      <c r="Q149" s="62">
        <f>+R149-N149-O149-P149</f>
        <v>-40.900000000000006</v>
      </c>
      <c r="R149" s="178">
        <v>-132.5</v>
      </c>
      <c r="S149" s="62">
        <v>-45.1</v>
      </c>
      <c r="T149" s="62">
        <f>-103.1-S149</f>
        <v>-57.999999999999993</v>
      </c>
      <c r="U149" s="62">
        <f>-135.6-S149-T149</f>
        <v>-32.500000000000007</v>
      </c>
      <c r="V149" s="62">
        <f>+W149-S149-T149-U149</f>
        <v>-56.4</v>
      </c>
      <c r="W149" s="178">
        <v>-192</v>
      </c>
      <c r="X149" s="62">
        <v>-17.7</v>
      </c>
      <c r="Y149" s="62">
        <f>-47-X149</f>
        <v>-29.3</v>
      </c>
      <c r="Z149" s="62">
        <f>-79.5-X149-Y149</f>
        <v>-32.5</v>
      </c>
      <c r="AA149" s="62">
        <f>+AB149-X149-Y149-Z149</f>
        <v>-64.300000000000011</v>
      </c>
      <c r="AB149" s="178">
        <v>-143.80000000000001</v>
      </c>
      <c r="AC149" s="62">
        <v>-22.2</v>
      </c>
      <c r="AD149" s="62">
        <f>-52-AC149</f>
        <v>-29.8</v>
      </c>
      <c r="AE149" s="62">
        <f>-95.6-AC149-AD149</f>
        <v>-43.599999999999994</v>
      </c>
      <c r="AF149" s="62">
        <f>+AG149-AC149-AD149-AE149</f>
        <v>-33</v>
      </c>
      <c r="AG149" s="178">
        <v>-128.6</v>
      </c>
      <c r="AH149" s="62">
        <v>-47.1</v>
      </c>
      <c r="AI149" s="62">
        <f>-65.1-AH149</f>
        <v>-17.999999999999993</v>
      </c>
      <c r="AJ149" s="62">
        <f>-89.2-AH149-AI149</f>
        <v>-24.100000000000009</v>
      </c>
      <c r="AK149" s="62">
        <f>+AL149-AH149-AI149-AJ149</f>
        <v>-18.5</v>
      </c>
      <c r="AL149" s="178">
        <v>-107.7</v>
      </c>
      <c r="AM149" s="62">
        <v>-25.6</v>
      </c>
      <c r="AN149" s="62">
        <f>-43.2-AM149</f>
        <v>-17.600000000000001</v>
      </c>
      <c r="AO149" s="62">
        <f>-70.1-AM149-AN149</f>
        <v>-26.899999999999991</v>
      </c>
      <c r="AP149" s="62">
        <f>+AQ149-AM149-AN149-AO149</f>
        <v>-19</v>
      </c>
      <c r="AQ149" s="178">
        <v>-89.1</v>
      </c>
      <c r="AR149" s="62">
        <v>-21</v>
      </c>
      <c r="AS149" s="62">
        <f>-39.2-AR149</f>
        <v>-18.200000000000003</v>
      </c>
      <c r="AT149" s="179">
        <f>-54.1-AS149-AR149</f>
        <v>-14.899999999999999</v>
      </c>
      <c r="AU149" s="62">
        <f>+AV149-AR149-AS149-AT149</f>
        <v>-14.300000000000004</v>
      </c>
      <c r="AV149" s="178">
        <v>-68.400000000000006</v>
      </c>
      <c r="AW149" s="62">
        <v>-19.600000000000001</v>
      </c>
      <c r="AX149" s="62">
        <f>-35.6-AW149</f>
        <v>-16</v>
      </c>
      <c r="AY149" s="62">
        <f>-52.2-AX149-AW149</f>
        <v>-16.600000000000001</v>
      </c>
      <c r="AZ149" s="62">
        <f>+BA149-AW149-AX149-AY149</f>
        <v>-9.8999999999999986</v>
      </c>
      <c r="BA149" s="178">
        <v>-62.1</v>
      </c>
      <c r="BB149" s="62">
        <v>-22</v>
      </c>
      <c r="BC149" s="62">
        <f>-49.2-BB149</f>
        <v>-27.200000000000003</v>
      </c>
      <c r="BD149" s="62">
        <f>-85.9-BC149-BB149</f>
        <v>-36.700000000000003</v>
      </c>
      <c r="BE149" s="62">
        <f>+BF149-BB149-BC149-BD149</f>
        <v>-137.60000000000002</v>
      </c>
      <c r="BF149" s="178">
        <v>-223.5</v>
      </c>
      <c r="BG149" s="62">
        <v>-131.4</v>
      </c>
      <c r="BH149" s="62">
        <f>-308.2-BG149</f>
        <v>-176.79999999999998</v>
      </c>
      <c r="BI149" s="62">
        <f>-541.3-BH149-BG149</f>
        <v>-233.1</v>
      </c>
      <c r="BJ149" s="62">
        <f>+BK149-BG149-BH149-BI149</f>
        <v>-178.10000000000005</v>
      </c>
      <c r="BK149" s="178">
        <v>-719.4</v>
      </c>
      <c r="BL149" s="62">
        <v>-129.69999999999999</v>
      </c>
      <c r="BM149" s="62">
        <f>-294.8-BL149</f>
        <v>-165.10000000000002</v>
      </c>
      <c r="BN149" s="62">
        <f>-513.8-BM149-BL149</f>
        <v>-218.99999999999994</v>
      </c>
      <c r="BO149" s="62">
        <f>+BP149-BL149-BM149-BN149</f>
        <v>-377.49999999999994</v>
      </c>
      <c r="BP149" s="178">
        <v>-891.3</v>
      </c>
      <c r="BQ149" s="62">
        <v>-169.4</v>
      </c>
      <c r="BR149" s="62">
        <f>-368.6-BQ149</f>
        <v>-199.20000000000002</v>
      </c>
      <c r="BS149" s="577">
        <f>-591.6-BR149-BQ149</f>
        <v>-222.99999999999997</v>
      </c>
      <c r="BT149" s="62">
        <f>+BU149-BQ149-BR149-BS149</f>
        <v>-315.79999999999995</v>
      </c>
      <c r="BU149" s="178">
        <v>-907.4</v>
      </c>
      <c r="BV149" s="577">
        <v>-217.1</v>
      </c>
      <c r="BW149" s="62">
        <f>-505.1-BV149</f>
        <v>-288</v>
      </c>
      <c r="BX149" s="62">
        <f>-705.6-BW149-BV149</f>
        <v>-200.50000000000003</v>
      </c>
      <c r="BY149" s="62">
        <f>+BZ149-BV149-BW149-BX149</f>
        <v>-351.99999999999989</v>
      </c>
      <c r="BZ149" s="178">
        <v>-1057.5999999999999</v>
      </c>
      <c r="CA149" s="62">
        <f>-CA189*CA5</f>
        <v>-295.06185521062503</v>
      </c>
      <c r="CB149" s="62">
        <f>-CB189*CB5</f>
        <v>-321.658461585</v>
      </c>
      <c r="CC149" s="62">
        <f>-CC189*CC5</f>
        <v>-281.38575803624997</v>
      </c>
      <c r="CD149" s="62">
        <f>-CD189*CD5</f>
        <v>-269.97944678250002</v>
      </c>
      <c r="CE149" s="178">
        <f>CA149+CB149+CC149+CD149</f>
        <v>-1168.085521614375</v>
      </c>
      <c r="CF149" s="62">
        <f>-CF189*CF5</f>
        <v>-226.36875738686382</v>
      </c>
      <c r="CG149" s="62">
        <f>-CG189*CG5</f>
        <v>-246.73232787438175</v>
      </c>
      <c r="CH149" s="62">
        <f>-CH189*CH5</f>
        <v>-215.00214793711785</v>
      </c>
      <c r="CI149" s="62">
        <f>-CI189*CI5</f>
        <v>-206.19753964189931</v>
      </c>
      <c r="CJ149" s="178">
        <f>CF149+CG149+CH149+CI149</f>
        <v>-894.30077284026265</v>
      </c>
      <c r="CK149" s="62">
        <f>-CK189*CK5</f>
        <v>-151.40584202709655</v>
      </c>
      <c r="CL149" s="62">
        <f>-CL189*CL5</f>
        <v>-165.0077944869133</v>
      </c>
      <c r="CM149" s="62">
        <f>-CM189*CM5</f>
        <v>-143.41740209172676</v>
      </c>
      <c r="CN149" s="62">
        <f>-CN189*CN5</f>
        <v>-137.50473456124718</v>
      </c>
      <c r="CO149" s="178">
        <f>CK149+CL149+CM149+CN149</f>
        <v>-597.3357731669837</v>
      </c>
      <c r="CP149" s="62">
        <f>-CP189*CP5</f>
        <v>-91.69434266170714</v>
      </c>
      <c r="CQ149" s="62">
        <f>-CQ189*CQ5</f>
        <v>-99.923342652656146</v>
      </c>
      <c r="CR149" s="62">
        <f>-CR189*CR5</f>
        <v>-86.6732414214637</v>
      </c>
      <c r="CS149" s="62">
        <f>-CS189*CS5</f>
        <v>-83.081148014095632</v>
      </c>
      <c r="CT149" s="178">
        <f>CP149+CQ149+CR149+CS149</f>
        <v>-361.3720747499226</v>
      </c>
      <c r="CU149" s="62">
        <f>-CU189*CU5</f>
        <v>-95.877496564829542</v>
      </c>
      <c r="CV149" s="62">
        <f>-CV189*CV5</f>
        <v>-104.47376936909501</v>
      </c>
      <c r="CW149" s="62">
        <f>-CW189*CW5</f>
        <v>-90.4541699293395</v>
      </c>
      <c r="CX149" s="62">
        <f>-CX189*CX5</f>
        <v>-86.687551063893579</v>
      </c>
      <c r="CY149" s="178">
        <f>CU149+CV149+CW149+CX149</f>
        <v>-377.49298692715763</v>
      </c>
      <c r="CZ149" s="147"/>
      <c r="DA149" s="730"/>
      <c r="DB149" s="735"/>
      <c r="DC149" s="735"/>
      <c r="DD149" s="730"/>
      <c r="DF149" s="730"/>
      <c r="DG149" s="736"/>
      <c r="DH149" s="735"/>
      <c r="DI149" s="730"/>
      <c r="DJ149" s="730"/>
      <c r="DK149" s="730"/>
      <c r="DL149" s="730"/>
      <c r="DM149" s="730"/>
      <c r="DN149" s="730"/>
      <c r="DU149" s="48"/>
      <c r="DV149" s="48"/>
      <c r="DW149" s="730"/>
      <c r="DX149" s="730"/>
      <c r="DY149" s="730"/>
      <c r="DZ149" s="730"/>
      <c r="EA149" s="730"/>
    </row>
    <row r="150" spans="1:131" x14ac:dyDescent="0.2">
      <c r="A150" s="48"/>
      <c r="B150" s="48" t="s">
        <v>152</v>
      </c>
      <c r="C150" s="48"/>
      <c r="D150" s="62">
        <v>4.8959999999999999</v>
      </c>
      <c r="E150" s="62">
        <f>10.15-D150</f>
        <v>5.2540000000000004</v>
      </c>
      <c r="F150" s="62">
        <f>11.085+4.431-D150-E150</f>
        <v>5.3660000000000005</v>
      </c>
      <c r="G150" s="62">
        <f>+H150-D150-E150-F150</f>
        <v>1.7469999999999963</v>
      </c>
      <c r="H150" s="178">
        <f>3.814+13.449</f>
        <v>17.262999999999998</v>
      </c>
      <c r="I150" s="62">
        <v>0.44500000000000001</v>
      </c>
      <c r="J150" s="62">
        <f>1.024-I150</f>
        <v>0.57899999999999996</v>
      </c>
      <c r="K150" s="62">
        <f>1.225-I150-J150</f>
        <v>0.20100000000000007</v>
      </c>
      <c r="L150" s="62">
        <f>+M150-I150-J150-K150</f>
        <v>22.375</v>
      </c>
      <c r="M150" s="178">
        <f>13.7+9.9</f>
        <v>23.6</v>
      </c>
      <c r="N150" s="62">
        <f>92.776+17.861</f>
        <v>110.637</v>
      </c>
      <c r="O150" s="62">
        <f>17.8+112-N150</f>
        <v>19.163000000000011</v>
      </c>
      <c r="P150" s="62">
        <f>17.8+119.1-N150-O150</f>
        <v>7.0999999999999943</v>
      </c>
      <c r="Q150" s="62">
        <f>+R150-N150-O150-P150</f>
        <v>36.599999999999994</v>
      </c>
      <c r="R150" s="178">
        <f>17.9+119.7+35.9</f>
        <v>173.5</v>
      </c>
      <c r="S150" s="62">
        <f>28+0.7</f>
        <v>28.7</v>
      </c>
      <c r="T150" s="62">
        <f>28.4+1.2-S150</f>
        <v>0.89999999999999858</v>
      </c>
      <c r="U150" s="62">
        <f>28.4+8.8-S150-T150</f>
        <v>7.600000000000005</v>
      </c>
      <c r="V150" s="62">
        <f>+W150-S150-T150-U150</f>
        <v>1</v>
      </c>
      <c r="W150" s="178">
        <f>28.4+9.8</f>
        <v>38.200000000000003</v>
      </c>
      <c r="X150" s="62">
        <f>3+1.8</f>
        <v>4.8</v>
      </c>
      <c r="Y150" s="62">
        <f>3+2.3-X150</f>
        <v>0.5</v>
      </c>
      <c r="Z150" s="62">
        <f>3+8.7-X150-Y150</f>
        <v>6.3999999999999995</v>
      </c>
      <c r="AA150" s="62">
        <f>+AB150-X150-Y150-Z150</f>
        <v>144.19999999999999</v>
      </c>
      <c r="AB150" s="178">
        <f>19.4+136.5</f>
        <v>155.9</v>
      </c>
      <c r="AC150" s="62">
        <v>0.8</v>
      </c>
      <c r="AD150" s="62">
        <f>204.2+16-AC150</f>
        <v>219.39999999999998</v>
      </c>
      <c r="AE150" s="62">
        <f>204.2+18.9-AC150-AD150</f>
        <v>2.9000000000000057</v>
      </c>
      <c r="AF150" s="62">
        <f>+AG150-AC150-AD150-AE150</f>
        <v>6.5</v>
      </c>
      <c r="AG150" s="178">
        <f>204.2+25.4</f>
        <v>229.6</v>
      </c>
      <c r="AH150" s="62">
        <f>270.2+1.2</f>
        <v>271.39999999999998</v>
      </c>
      <c r="AI150" s="62">
        <f>276.4+14.5-AH150</f>
        <v>19.5</v>
      </c>
      <c r="AJ150" s="62">
        <f>276.4+16.5-AH150-AI150</f>
        <v>2</v>
      </c>
      <c r="AK150" s="62">
        <f>+AL150-AH150-AI150-AJ150</f>
        <v>73.900000000000034</v>
      </c>
      <c r="AL150" s="178">
        <f>349.6+17.2</f>
        <v>366.8</v>
      </c>
      <c r="AM150" s="62">
        <f>1.1-1.6</f>
        <v>-0.5</v>
      </c>
      <c r="AN150" s="62">
        <f>-1.6+3.1-AM150</f>
        <v>2</v>
      </c>
      <c r="AO150" s="62">
        <f>-29.7-1.6+15.5+0.3-AM150-AN150</f>
        <v>-17</v>
      </c>
      <c r="AP150" s="62">
        <f>+AQ150-AM150-AN150-AO150</f>
        <v>254.7</v>
      </c>
      <c r="AQ150" s="178">
        <f>219.7+19.5</f>
        <v>239.2</v>
      </c>
      <c r="AR150" s="62">
        <f>-7.5+0.1</f>
        <v>-7.4</v>
      </c>
      <c r="AS150" s="62">
        <f>-28.8+0.3-AR150</f>
        <v>-21.1</v>
      </c>
      <c r="AT150" s="179">
        <f>-26.9-AS150-AR150</f>
        <v>1.6000000000000032</v>
      </c>
      <c r="AU150" s="62">
        <f>+AV150-AR150-AS150-AT150</f>
        <v>-0.29999999999999893</v>
      </c>
      <c r="AV150" s="178">
        <f>-30.8+3.6</f>
        <v>-27.2</v>
      </c>
      <c r="AW150" s="62">
        <v>7.7</v>
      </c>
      <c r="AX150" s="62">
        <f>7.9-0.3-AW150</f>
        <v>-9.9999999999999645E-2</v>
      </c>
      <c r="AY150" s="62">
        <f>8-0.5-AX150-AW150</f>
        <v>-0.10000000000000053</v>
      </c>
      <c r="AZ150" s="62">
        <f>+BA150-AW150-AX150-AY150</f>
        <v>1.9000000000000004</v>
      </c>
      <c r="BA150" s="178">
        <f>-0.5+9.9</f>
        <v>9.4</v>
      </c>
      <c r="BB150" s="62">
        <v>1.2</v>
      </c>
      <c r="BC150" s="62">
        <f>1.6-BB150</f>
        <v>0.40000000000000013</v>
      </c>
      <c r="BD150" s="62">
        <f>7.8-BC150-BB150</f>
        <v>6.1999999999999993</v>
      </c>
      <c r="BE150" s="62">
        <f>+BF150-BB150-BC150-BD150</f>
        <v>23.400000000000002</v>
      </c>
      <c r="BF150" s="178">
        <f>7.8+23.4</f>
        <v>31.2</v>
      </c>
      <c r="BG150" s="62">
        <v>0</v>
      </c>
      <c r="BH150" s="62">
        <v>0</v>
      </c>
      <c r="BI150" s="62">
        <v>0</v>
      </c>
      <c r="BJ150" s="62">
        <f ca="1">+BK150-BG150-BH150-BI150</f>
        <v>0</v>
      </c>
      <c r="BK150" s="178">
        <f ca="1">+SUM(BG150:BJ150)</f>
        <v>0</v>
      </c>
      <c r="BL150" s="62">
        <v>0</v>
      </c>
      <c r="BM150" s="62">
        <v>0</v>
      </c>
      <c r="BN150" s="62">
        <v>0</v>
      </c>
      <c r="BO150" s="62">
        <f>+BP150-BL150-BM150-BN150</f>
        <v>0</v>
      </c>
      <c r="BP150" s="178">
        <v>0</v>
      </c>
      <c r="BQ150" s="62">
        <v>0</v>
      </c>
      <c r="BR150" s="62">
        <v>0</v>
      </c>
      <c r="BS150" s="577">
        <v>0</v>
      </c>
      <c r="BT150" s="62">
        <f>+BU150-BQ150-BR150-BS150</f>
        <v>575.29999999999995</v>
      </c>
      <c r="BU150" s="178">
        <v>575.29999999999995</v>
      </c>
      <c r="BV150" s="577">
        <v>0</v>
      </c>
      <c r="BW150" s="62">
        <v>0</v>
      </c>
      <c r="BX150" s="62">
        <v>0</v>
      </c>
      <c r="BY150" s="62">
        <f ca="1">+BZ150-BV150-BW150-BX150</f>
        <v>0</v>
      </c>
      <c r="BZ150" s="178">
        <f ca="1">+SUM(BV150:BY150)</f>
        <v>0</v>
      </c>
      <c r="CA150" s="62">
        <v>0</v>
      </c>
      <c r="CB150" s="62">
        <v>0</v>
      </c>
      <c r="CC150" s="62">
        <v>0</v>
      </c>
      <c r="CD150" s="62">
        <v>0</v>
      </c>
      <c r="CE150" s="178">
        <f>+SUM(CA150:CD150)</f>
        <v>0</v>
      </c>
      <c r="CF150" s="62">
        <v>0</v>
      </c>
      <c r="CG150" s="62">
        <v>0</v>
      </c>
      <c r="CH150" s="62">
        <v>0</v>
      </c>
      <c r="CI150" s="62">
        <v>0</v>
      </c>
      <c r="CJ150" s="178">
        <f>+SUM(CF150:CI150)</f>
        <v>0</v>
      </c>
      <c r="CK150" s="62">
        <v>0</v>
      </c>
      <c r="CL150" s="62">
        <v>0</v>
      </c>
      <c r="CM150" s="62">
        <v>0</v>
      </c>
      <c r="CN150" s="62">
        <v>0</v>
      </c>
      <c r="CO150" s="178">
        <f>+SUM(CK150:CN150)</f>
        <v>0</v>
      </c>
      <c r="CP150" s="62">
        <v>0</v>
      </c>
      <c r="CQ150" s="62">
        <v>0</v>
      </c>
      <c r="CR150" s="62">
        <v>0</v>
      </c>
      <c r="CS150" s="62">
        <v>0</v>
      </c>
      <c r="CT150" s="178">
        <f>+SUM(CP150:CS150)</f>
        <v>0</v>
      </c>
      <c r="CU150" s="62">
        <v>0</v>
      </c>
      <c r="CV150" s="62">
        <v>0</v>
      </c>
      <c r="CW150" s="62">
        <v>0</v>
      </c>
      <c r="CX150" s="62">
        <v>0</v>
      </c>
      <c r="CY150" s="178">
        <f>+SUM(CU150:CX150)</f>
        <v>0</v>
      </c>
      <c r="CZ150" s="179"/>
      <c r="DA150" s="730"/>
      <c r="DB150" s="735"/>
      <c r="DC150" s="735"/>
      <c r="DD150" s="730"/>
      <c r="DF150" s="730"/>
      <c r="DG150" s="735"/>
      <c r="DH150" s="735"/>
      <c r="DI150" s="730"/>
      <c r="DJ150" s="730"/>
      <c r="DK150" s="730"/>
      <c r="DL150" s="730"/>
      <c r="DM150" s="730"/>
      <c r="DN150" s="730"/>
      <c r="DU150" s="48"/>
      <c r="DV150" s="48"/>
      <c r="DW150" s="730"/>
      <c r="DX150" s="730"/>
      <c r="DY150" s="730"/>
      <c r="DZ150" s="730"/>
      <c r="EA150" s="730"/>
    </row>
    <row r="151" spans="1:131" x14ac:dyDescent="0.2">
      <c r="A151" s="48"/>
      <c r="B151" s="48" t="s">
        <v>90</v>
      </c>
      <c r="C151" s="48"/>
      <c r="D151" s="219">
        <v>-0.97799999999999998</v>
      </c>
      <c r="E151" s="219">
        <f>0.777-0.978-D151</f>
        <v>0.77700000000000002</v>
      </c>
      <c r="F151" s="219">
        <f>0.79-2.035-D151-E151</f>
        <v>-1.044</v>
      </c>
      <c r="G151" s="219">
        <f>+H151-D151-E151-F151</f>
        <v>5.899999999999983E-2</v>
      </c>
      <c r="H151" s="227">
        <f>-2.035+0.849</f>
        <v>-1.1860000000000002</v>
      </c>
      <c r="I151" s="219">
        <v>-1.3380000000000001</v>
      </c>
      <c r="J151" s="219">
        <f>-1.339-I151</f>
        <v>-9.9999999999988987E-4</v>
      </c>
      <c r="K151" s="219">
        <f>-2.617-I151-J151</f>
        <v>-1.278</v>
      </c>
      <c r="L151" s="219">
        <f>+M151-I151-J151-K151</f>
        <v>-71.682999999999979</v>
      </c>
      <c r="M151" s="227">
        <f>-2.6-86.1+14.4</f>
        <v>-74.299999999999983</v>
      </c>
      <c r="N151" s="219">
        <f>-2.286-1.648+35.171</f>
        <v>31.236999999999998</v>
      </c>
      <c r="O151" s="219">
        <f>-1.6+36-2.3-5-N151</f>
        <v>-4.1369999999999969</v>
      </c>
      <c r="P151" s="219">
        <f>-3.1+36-2.7-4.9-N151-O151</f>
        <v>-1.8000000000000043</v>
      </c>
      <c r="Q151" s="219">
        <f>+R151-N151-O151-P151</f>
        <v>-35.999999999999993</v>
      </c>
      <c r="R151" s="227">
        <f>-4.9-2.7-3.1</f>
        <v>-10.700000000000001</v>
      </c>
      <c r="S151" s="219">
        <f>-2.1-1.1</f>
        <v>-3.2</v>
      </c>
      <c r="T151" s="219">
        <f>-1.1+55.1-0.1-S151</f>
        <v>57.1</v>
      </c>
      <c r="U151" s="219">
        <f>-3.7+55.1-0.4-S151-T151</f>
        <v>-2.8999999999999986</v>
      </c>
      <c r="V151" s="219">
        <f>+W151-S151-T151-U151</f>
        <v>-0.60000000000000142</v>
      </c>
      <c r="W151" s="227">
        <f>-3.6+55.1-1.1</f>
        <v>50.4</v>
      </c>
      <c r="X151" s="219">
        <f>185.6-2.9</f>
        <v>182.7</v>
      </c>
      <c r="Y151" s="219">
        <f>185.6-2.8-0.6-X151</f>
        <v>-0.5</v>
      </c>
      <c r="Z151" s="219">
        <f>185.6-4-1.5-X151-Y151</f>
        <v>-2.0999999999999943</v>
      </c>
      <c r="AA151" s="219">
        <f>+AB151-X151-Y151-Z151</f>
        <v>-3.0999999999999943</v>
      </c>
      <c r="AB151" s="227">
        <f>-4.6-4+185.6</f>
        <v>177</v>
      </c>
      <c r="AC151" s="219">
        <v>7.8</v>
      </c>
      <c r="AD151" s="219">
        <f>-0.6+11.3-AC151</f>
        <v>2.9000000000000012</v>
      </c>
      <c r="AE151" s="219">
        <f>20.7-1+9.9-AC151-AD151</f>
        <v>18.899999999999999</v>
      </c>
      <c r="AF151" s="219">
        <f>+AG151-AC151-AD151-AE151</f>
        <v>-2.1000000000000014</v>
      </c>
      <c r="AG151" s="227">
        <f>20.8-3.2+9.9</f>
        <v>27.5</v>
      </c>
      <c r="AH151" s="219">
        <f>-0.3+0.3</f>
        <v>0</v>
      </c>
      <c r="AI151" s="219">
        <f>-0.5+1.2-AH151</f>
        <v>0.7</v>
      </c>
      <c r="AJ151" s="219">
        <f>-0.6+0.2+0.6-AH151-AI151</f>
        <v>-0.49999999999999994</v>
      </c>
      <c r="AK151" s="219">
        <f>+AL151-AH151-AI151-AJ151</f>
        <v>-2.7</v>
      </c>
      <c r="AL151" s="227">
        <f>0.2-0.9-1.8</f>
        <v>-2.5</v>
      </c>
      <c r="AM151" s="219">
        <f>60-29.6+0.3</f>
        <v>30.7</v>
      </c>
      <c r="AN151" s="219">
        <f>AN152-SUM(AN148:AN150)</f>
        <v>0.1000000000000032</v>
      </c>
      <c r="AO151" s="219">
        <f>60+0.5-AM151-AN151</f>
        <v>29.699999999999996</v>
      </c>
      <c r="AP151" s="219">
        <f>+AQ151-AM151-AN151-AO151</f>
        <v>-22.5</v>
      </c>
      <c r="AQ151" s="227">
        <f>60+0.3-29.7+7.4</f>
        <v>38</v>
      </c>
      <c r="AR151" s="219">
        <f>1-6.4</f>
        <v>-5.4</v>
      </c>
      <c r="AS151" s="219">
        <f>AS152-SUM(AS148:AS150)</f>
        <v>-0.10000000000000142</v>
      </c>
      <c r="AT151" s="228">
        <f>-0.1+20.2+1+0.6-7.9-AS151-AR151</f>
        <v>19.3</v>
      </c>
      <c r="AU151" s="219">
        <f>+AV151-AR151-AS151-AT151</f>
        <v>-1.8000000000000007</v>
      </c>
      <c r="AV151" s="227">
        <f>-0.1+20.2+1-9.1</f>
        <v>11.999999999999998</v>
      </c>
      <c r="AW151" s="219">
        <f>1.7-0.9</f>
        <v>0.79999999999999993</v>
      </c>
      <c r="AX151" s="219">
        <f>4.6-0.9-AW151</f>
        <v>2.9</v>
      </c>
      <c r="AY151" s="219">
        <f>4.6-0.8-AX151-AW151</f>
        <v>9.9999999999999978E-2</v>
      </c>
      <c r="AZ151" s="219">
        <f>+BA151-AW151-AX151-AY151</f>
        <v>1.3999999999999995</v>
      </c>
      <c r="BA151" s="227">
        <f>4.6+0.6</f>
        <v>5.1999999999999993</v>
      </c>
      <c r="BB151" s="219">
        <v>0.8</v>
      </c>
      <c r="BC151" s="219">
        <f>1.1-BB151</f>
        <v>0.30000000000000004</v>
      </c>
      <c r="BD151" s="219">
        <f>1.6-BC151-BB151</f>
        <v>0.5</v>
      </c>
      <c r="BE151" s="219">
        <f>+BF151-BB151-BC151-BD151</f>
        <v>8.1999999999999993</v>
      </c>
      <c r="BF151" s="227">
        <v>9.8000000000000007</v>
      </c>
      <c r="BG151" s="219">
        <v>-4.9000000000000004</v>
      </c>
      <c r="BH151" s="219">
        <f>2-BG151</f>
        <v>6.9</v>
      </c>
      <c r="BI151" s="219">
        <f>3-BH151-BG151</f>
        <v>1</v>
      </c>
      <c r="BJ151" s="219">
        <f>+BK151-BG151-BH151-BI151</f>
        <v>10.800000000000002</v>
      </c>
      <c r="BK151" s="227">
        <v>13.8</v>
      </c>
      <c r="BL151" s="219">
        <v>-1.6</v>
      </c>
      <c r="BM151" s="219">
        <f>3.7-BL151</f>
        <v>5.3000000000000007</v>
      </c>
      <c r="BN151" s="219">
        <f>4-BM151-BL151</f>
        <v>0.29999999999999938</v>
      </c>
      <c r="BO151" s="219">
        <f>+BP151-BL151-BM151-BN151</f>
        <v>-3.6999999999999997</v>
      </c>
      <c r="BP151" s="227">
        <v>0.3</v>
      </c>
      <c r="BQ151" s="219">
        <v>0</v>
      </c>
      <c r="BR151" s="219">
        <f>-0.1-BQ151</f>
        <v>-0.1</v>
      </c>
      <c r="BS151" s="578">
        <f>-15.3-BR151-BQ151</f>
        <v>-15.200000000000001</v>
      </c>
      <c r="BT151" s="219">
        <f>+BU151-BQ151-BR151-BS151</f>
        <v>-3.3999999999999968</v>
      </c>
      <c r="BU151" s="227">
        <v>-18.7</v>
      </c>
      <c r="BV151" s="578">
        <f>-5+0.8</f>
        <v>-4.2</v>
      </c>
      <c r="BW151" s="219">
        <f>-5+1.3-BV151</f>
        <v>0.5</v>
      </c>
      <c r="BX151" s="219">
        <f>-191.3-5-4.5-BW151-BV151</f>
        <v>-197.10000000000002</v>
      </c>
      <c r="BY151" s="219">
        <f>+BZ151-BV151-BW151-BX151</f>
        <v>-14.599999999999994</v>
      </c>
      <c r="BZ151" s="227">
        <f>-191.3-5-19.1</f>
        <v>-215.4</v>
      </c>
      <c r="CA151" s="219">
        <v>0</v>
      </c>
      <c r="CB151" s="219">
        <v>0</v>
      </c>
      <c r="CC151" s="219">
        <v>0</v>
      </c>
      <c r="CD151" s="219">
        <v>0</v>
      </c>
      <c r="CE151" s="227">
        <f>+SUM(CA151:CD151)</f>
        <v>0</v>
      </c>
      <c r="CF151" s="219">
        <v>0</v>
      </c>
      <c r="CG151" s="219">
        <v>0</v>
      </c>
      <c r="CH151" s="219">
        <v>0</v>
      </c>
      <c r="CI151" s="219">
        <v>0</v>
      </c>
      <c r="CJ151" s="227">
        <f>+SUM(CF151:CI151)</f>
        <v>0</v>
      </c>
      <c r="CK151" s="219">
        <v>0</v>
      </c>
      <c r="CL151" s="219">
        <v>0</v>
      </c>
      <c r="CM151" s="219">
        <v>0</v>
      </c>
      <c r="CN151" s="219">
        <v>0</v>
      </c>
      <c r="CO151" s="227">
        <f>+SUM(CK151:CN151)</f>
        <v>0</v>
      </c>
      <c r="CP151" s="219">
        <v>0</v>
      </c>
      <c r="CQ151" s="219">
        <v>0</v>
      </c>
      <c r="CR151" s="219">
        <v>0</v>
      </c>
      <c r="CS151" s="219">
        <v>0</v>
      </c>
      <c r="CT151" s="227">
        <f>+SUM(CP151:CS151)</f>
        <v>0</v>
      </c>
      <c r="CU151" s="219">
        <v>0</v>
      </c>
      <c r="CV151" s="219">
        <v>0</v>
      </c>
      <c r="CW151" s="219">
        <v>0</v>
      </c>
      <c r="CX151" s="219">
        <v>0</v>
      </c>
      <c r="CY151" s="227">
        <f>+SUM(CU151:CX151)</f>
        <v>0</v>
      </c>
      <c r="CZ151" s="229"/>
      <c r="DA151" s="730"/>
      <c r="DB151" s="742"/>
      <c r="DC151" s="735"/>
      <c r="DD151" s="730"/>
      <c r="DF151" s="730"/>
      <c r="DG151" s="735"/>
      <c r="DH151" s="735"/>
      <c r="DI151" s="730"/>
      <c r="DJ151" s="730"/>
      <c r="DK151" s="730"/>
      <c r="DL151" s="730"/>
      <c r="DM151" s="730"/>
      <c r="DN151" s="730"/>
      <c r="DU151" s="48"/>
      <c r="DV151" s="48"/>
      <c r="DW151" s="730"/>
      <c r="DX151" s="730"/>
      <c r="DY151" s="730"/>
      <c r="DZ151" s="730"/>
      <c r="EA151" s="730"/>
    </row>
    <row r="152" spans="1:131" s="492" customFormat="1" x14ac:dyDescent="0.2">
      <c r="A152" s="89" t="s">
        <v>153</v>
      </c>
      <c r="B152" s="89"/>
      <c r="C152" s="89"/>
      <c r="D152" s="84">
        <f t="shared" ref="D152:AM152" si="201">SUM(D148:D151)</f>
        <v>-1081.867</v>
      </c>
      <c r="E152" s="84">
        <f t="shared" si="201"/>
        <v>-23.793999999999979</v>
      </c>
      <c r="F152" s="84">
        <f t="shared" si="201"/>
        <v>-20.726000000000131</v>
      </c>
      <c r="G152" s="84">
        <f t="shared" si="201"/>
        <v>-32.099999999999952</v>
      </c>
      <c r="H152" s="85">
        <f t="shared" si="201"/>
        <v>-1158.4870000000001</v>
      </c>
      <c r="I152" s="84">
        <f t="shared" si="201"/>
        <v>-23.006</v>
      </c>
      <c r="J152" s="84">
        <f t="shared" si="201"/>
        <v>-28.218999999999998</v>
      </c>
      <c r="K152" s="84">
        <f t="shared" si="201"/>
        <v>-37.421999999999997</v>
      </c>
      <c r="L152" s="84">
        <f t="shared" si="201"/>
        <v>-1134.2530000000002</v>
      </c>
      <c r="M152" s="85">
        <f t="shared" si="201"/>
        <v>-1222.9000000000001</v>
      </c>
      <c r="N152" s="84">
        <f t="shared" si="201"/>
        <v>110.03399999999999</v>
      </c>
      <c r="O152" s="84">
        <f t="shared" si="201"/>
        <v>-16.133999999999986</v>
      </c>
      <c r="P152" s="84">
        <f t="shared" si="201"/>
        <v>-69.099999999999994</v>
      </c>
      <c r="Q152" s="84">
        <f t="shared" si="201"/>
        <v>-40.400000000000006</v>
      </c>
      <c r="R152" s="85">
        <f t="shared" si="201"/>
        <v>-15.600000000000007</v>
      </c>
      <c r="S152" s="84">
        <f t="shared" si="201"/>
        <v>-19.600000000000001</v>
      </c>
      <c r="T152" s="84">
        <f t="shared" si="201"/>
        <v>-1091.8</v>
      </c>
      <c r="U152" s="84">
        <f t="shared" si="201"/>
        <v>-29.700000000000092</v>
      </c>
      <c r="V152" s="84">
        <f t="shared" si="201"/>
        <v>-56</v>
      </c>
      <c r="W152" s="85">
        <f t="shared" si="201"/>
        <v>-1197.0999999999999</v>
      </c>
      <c r="X152" s="84">
        <f t="shared" si="201"/>
        <v>-215.7</v>
      </c>
      <c r="Y152" s="84">
        <f t="shared" si="201"/>
        <v>-30.100000000000012</v>
      </c>
      <c r="Z152" s="84">
        <f t="shared" si="201"/>
        <v>-31.599999999999973</v>
      </c>
      <c r="AA152" s="84">
        <f t="shared" si="201"/>
        <v>-835.50000000000011</v>
      </c>
      <c r="AB152" s="85">
        <f t="shared" si="201"/>
        <v>-1112.8999999999999</v>
      </c>
      <c r="AC152" s="84">
        <f t="shared" si="201"/>
        <v>-15.7</v>
      </c>
      <c r="AD152" s="84">
        <f t="shared" si="201"/>
        <v>195.2</v>
      </c>
      <c r="AE152" s="84">
        <f t="shared" si="201"/>
        <v>-22.199999999999989</v>
      </c>
      <c r="AF152" s="84">
        <f t="shared" si="201"/>
        <v>-28.700000000000003</v>
      </c>
      <c r="AG152" s="85">
        <f t="shared" si="201"/>
        <v>128.6</v>
      </c>
      <c r="AH152" s="84">
        <f t="shared" si="201"/>
        <v>224.29999999999998</v>
      </c>
      <c r="AI152" s="84">
        <f t="shared" si="201"/>
        <v>2.2000000000000073</v>
      </c>
      <c r="AJ152" s="84">
        <f t="shared" si="201"/>
        <v>-22.600000000000009</v>
      </c>
      <c r="AK152" s="84">
        <f t="shared" si="201"/>
        <v>52.700000000000031</v>
      </c>
      <c r="AL152" s="85">
        <f t="shared" si="201"/>
        <v>256.60000000000002</v>
      </c>
      <c r="AM152" s="84">
        <f t="shared" si="201"/>
        <v>4.5999999999999979</v>
      </c>
      <c r="AN152" s="84">
        <f>-10.9-AM152</f>
        <v>-15.499999999999998</v>
      </c>
      <c r="AO152" s="84">
        <f>SUM(AO148:AO151)</f>
        <v>-14.199999999999996</v>
      </c>
      <c r="AP152" s="84">
        <f ca="1">SUM(AP148:AP151)</f>
        <v>213.2</v>
      </c>
      <c r="AQ152" s="85">
        <f ca="1">SUM(AQ148:AQ151)</f>
        <v>188.1</v>
      </c>
      <c r="AR152" s="84">
        <f>SUM(AR148:AR151)</f>
        <v>-33.799999999999997</v>
      </c>
      <c r="AS152" s="84">
        <f>-73.2-AR152</f>
        <v>-39.400000000000006</v>
      </c>
      <c r="AT152" s="86">
        <f t="shared" ref="AT152:BU152" si="202">SUM(AT148:AT151)</f>
        <v>-45.5</v>
      </c>
      <c r="AU152" s="84">
        <f t="shared" si="202"/>
        <v>-16.400000000000006</v>
      </c>
      <c r="AV152" s="85">
        <f t="shared" si="202"/>
        <v>-135.1</v>
      </c>
      <c r="AW152" s="84">
        <f t="shared" si="202"/>
        <v>-11.100000000000001</v>
      </c>
      <c r="AX152" s="84">
        <f t="shared" si="202"/>
        <v>-172.89999999999998</v>
      </c>
      <c r="AY152" s="84">
        <f t="shared" si="202"/>
        <v>-16.200000000000024</v>
      </c>
      <c r="AZ152" s="84">
        <f t="shared" si="202"/>
        <v>-6.5999999999999988</v>
      </c>
      <c r="BA152" s="85">
        <f t="shared" si="202"/>
        <v>-206.8</v>
      </c>
      <c r="BB152" s="84">
        <f t="shared" si="202"/>
        <v>-20</v>
      </c>
      <c r="BC152" s="84">
        <f t="shared" si="202"/>
        <v>-4699.3999999999996</v>
      </c>
      <c r="BD152" s="84">
        <f t="shared" si="202"/>
        <v>-38.100000000000364</v>
      </c>
      <c r="BE152" s="84">
        <f t="shared" si="202"/>
        <v>-106.3000000000002</v>
      </c>
      <c r="BF152" s="85">
        <f t="shared" si="202"/>
        <v>-4863.8</v>
      </c>
      <c r="BG152" s="84">
        <f t="shared" si="202"/>
        <v>-136.30000000000001</v>
      </c>
      <c r="BH152" s="87">
        <f t="shared" ref="BH152:BM152" si="203">SUM(BH148:BH151)</f>
        <v>-169.89999999999998</v>
      </c>
      <c r="BI152" s="87">
        <f t="shared" si="203"/>
        <v>-253.5</v>
      </c>
      <c r="BJ152" s="84">
        <f t="shared" ca="1" si="203"/>
        <v>-456.2000000000001</v>
      </c>
      <c r="BK152" s="85">
        <f t="shared" ca="1" si="203"/>
        <v>-1015.9000000000001</v>
      </c>
      <c r="BL152" s="87">
        <f t="shared" si="203"/>
        <v>-131.29999999999998</v>
      </c>
      <c r="BM152" s="84">
        <f t="shared" si="203"/>
        <v>-477.7</v>
      </c>
      <c r="BN152" s="87">
        <f t="shared" si="202"/>
        <v>-218.69999999999993</v>
      </c>
      <c r="BO152" s="84">
        <f>SUM(BO148:BO151)</f>
        <v>-1379.7</v>
      </c>
      <c r="BP152" s="85">
        <f>SUM(BP148:BP151)</f>
        <v>-2207.3999999999996</v>
      </c>
      <c r="BQ152" s="84">
        <f>SUM(BQ148:BQ151)</f>
        <v>-454.29999999999995</v>
      </c>
      <c r="BR152" s="84">
        <f t="shared" si="202"/>
        <v>-199.3</v>
      </c>
      <c r="BS152" s="87">
        <f>SUM(BS148:BS151)</f>
        <v>-495.50000000000006</v>
      </c>
      <c r="BT152" s="84">
        <f>SUM(BT148:BT151)</f>
        <v>-312.69999999999993</v>
      </c>
      <c r="BU152" s="85">
        <f t="shared" si="202"/>
        <v>-1461.8000000000002</v>
      </c>
      <c r="BV152" s="87">
        <f>SUM(BV148:BV151)</f>
        <v>-221.29999999999998</v>
      </c>
      <c r="BW152" s="84">
        <f>SUM(BW148:BW151)</f>
        <v>-419.3</v>
      </c>
      <c r="BX152" s="84">
        <f>SUM(BX148:BX151)</f>
        <v>-397.70000000000005</v>
      </c>
      <c r="BY152" s="84">
        <f ca="1">SUM(BY148:BY151)</f>
        <v>-384.79999999999984</v>
      </c>
      <c r="BZ152" s="85">
        <f ca="1">SUM(BZ148:BZ151)</f>
        <v>-1423.1</v>
      </c>
      <c r="CA152" s="84">
        <f t="shared" ref="CA152:CY152" si="204">SUM(CA148:CA151)</f>
        <v>-295.06185521062503</v>
      </c>
      <c r="CB152" s="84">
        <f t="shared" si="204"/>
        <v>-321.658461585</v>
      </c>
      <c r="CC152" s="84">
        <f t="shared" si="204"/>
        <v>-281.38575803624997</v>
      </c>
      <c r="CD152" s="84">
        <f t="shared" si="204"/>
        <v>-269.97944678250002</v>
      </c>
      <c r="CE152" s="85">
        <f t="shared" si="204"/>
        <v>-1168.085521614375</v>
      </c>
      <c r="CF152" s="84">
        <f t="shared" si="204"/>
        <v>-226.36875738686382</v>
      </c>
      <c r="CG152" s="84">
        <f t="shared" si="204"/>
        <v>-246.73232787438175</v>
      </c>
      <c r="CH152" s="84">
        <f t="shared" si="204"/>
        <v>-215.00214793711785</v>
      </c>
      <c r="CI152" s="84">
        <f t="shared" si="204"/>
        <v>-206.19753964189931</v>
      </c>
      <c r="CJ152" s="85">
        <f t="shared" si="204"/>
        <v>-894.30077284026265</v>
      </c>
      <c r="CK152" s="84">
        <f t="shared" si="204"/>
        <v>-151.40584202709655</v>
      </c>
      <c r="CL152" s="84">
        <f t="shared" si="204"/>
        <v>-165.0077944869133</v>
      </c>
      <c r="CM152" s="84">
        <f t="shared" si="204"/>
        <v>-143.41740209172676</v>
      </c>
      <c r="CN152" s="84">
        <f t="shared" si="204"/>
        <v>-137.50473456124718</v>
      </c>
      <c r="CO152" s="85">
        <f t="shared" si="204"/>
        <v>-597.3357731669837</v>
      </c>
      <c r="CP152" s="84">
        <f t="shared" si="204"/>
        <v>-91.69434266170714</v>
      </c>
      <c r="CQ152" s="84">
        <f t="shared" si="204"/>
        <v>-99.923342652656146</v>
      </c>
      <c r="CR152" s="84">
        <f t="shared" si="204"/>
        <v>-86.6732414214637</v>
      </c>
      <c r="CS152" s="84">
        <f t="shared" si="204"/>
        <v>-83.081148014095632</v>
      </c>
      <c r="CT152" s="85">
        <f t="shared" si="204"/>
        <v>-361.3720747499226</v>
      </c>
      <c r="CU152" s="84">
        <f t="shared" si="204"/>
        <v>-95.877496564829542</v>
      </c>
      <c r="CV152" s="84">
        <f t="shared" si="204"/>
        <v>-104.47376936909501</v>
      </c>
      <c r="CW152" s="84">
        <f t="shared" si="204"/>
        <v>-90.4541699293395</v>
      </c>
      <c r="CX152" s="84">
        <f t="shared" si="204"/>
        <v>-86.687551063893579</v>
      </c>
      <c r="CY152" s="85">
        <f t="shared" si="204"/>
        <v>-377.49298692715763</v>
      </c>
      <c r="CZ152" s="86"/>
      <c r="DA152" s="739"/>
      <c r="DB152" s="738"/>
      <c r="DC152" s="797"/>
      <c r="DD152" s="739"/>
      <c r="DE152" s="740"/>
      <c r="DF152" s="739"/>
      <c r="DG152" s="738"/>
      <c r="DH152" s="738"/>
      <c r="DI152" s="739"/>
      <c r="DJ152" s="739"/>
      <c r="DK152" s="739"/>
      <c r="DL152" s="739"/>
      <c r="DM152" s="739"/>
      <c r="DN152" s="739"/>
      <c r="DO152"/>
      <c r="DP152"/>
      <c r="DQ152"/>
      <c r="DR152"/>
      <c r="DS152"/>
      <c r="DT152"/>
      <c r="DU152" s="89"/>
      <c r="DV152" s="89"/>
      <c r="DW152" s="739"/>
      <c r="DX152" s="739"/>
      <c r="DY152" s="739"/>
      <c r="DZ152" s="739"/>
      <c r="EA152" s="739"/>
    </row>
    <row r="153" spans="1:131" x14ac:dyDescent="0.2">
      <c r="A153" s="48"/>
      <c r="B153" s="48"/>
      <c r="C153" s="48"/>
      <c r="D153" s="119"/>
      <c r="E153" s="62"/>
      <c r="F153" s="119"/>
      <c r="G153" s="119"/>
      <c r="H153" s="141"/>
      <c r="I153" s="119"/>
      <c r="J153" s="119"/>
      <c r="K153" s="119"/>
      <c r="L153" s="119"/>
      <c r="M153" s="141"/>
      <c r="N153" s="119"/>
      <c r="O153" s="119"/>
      <c r="P153" s="119"/>
      <c r="Q153" s="119"/>
      <c r="R153" s="141"/>
      <c r="S153" s="119"/>
      <c r="T153" s="119"/>
      <c r="U153" s="119"/>
      <c r="V153" s="119"/>
      <c r="W153" s="141"/>
      <c r="X153" s="119"/>
      <c r="Y153" s="119"/>
      <c r="Z153" s="119"/>
      <c r="AA153" s="119"/>
      <c r="AB153" s="141"/>
      <c r="AC153" s="119"/>
      <c r="AD153" s="119"/>
      <c r="AE153" s="119"/>
      <c r="AF153" s="119"/>
      <c r="AG153" s="141"/>
      <c r="AH153" s="119"/>
      <c r="AI153" s="119"/>
      <c r="AJ153" s="119"/>
      <c r="AK153" s="119"/>
      <c r="AL153" s="141"/>
      <c r="AM153" s="119"/>
      <c r="AN153" s="119"/>
      <c r="AO153" s="119"/>
      <c r="AP153" s="119"/>
      <c r="AQ153" s="141"/>
      <c r="AR153" s="119"/>
      <c r="AS153" s="119"/>
      <c r="AT153" s="142"/>
      <c r="AU153" s="119"/>
      <c r="AV153" s="141"/>
      <c r="AW153" s="119"/>
      <c r="AX153" s="119"/>
      <c r="AY153" s="119"/>
      <c r="AZ153" s="119"/>
      <c r="BA153" s="141"/>
      <c r="BB153" s="119"/>
      <c r="BC153" s="119"/>
      <c r="BD153" s="119"/>
      <c r="BE153" s="119"/>
      <c r="BF153" s="141"/>
      <c r="BG153" s="119"/>
      <c r="BH153" s="62"/>
      <c r="BI153" s="119"/>
      <c r="BJ153" s="119"/>
      <c r="BK153" s="141"/>
      <c r="BL153" s="62"/>
      <c r="BM153" s="119"/>
      <c r="BN153" s="62"/>
      <c r="BO153" s="119"/>
      <c r="BP153" s="141"/>
      <c r="BQ153" s="119"/>
      <c r="BR153" s="119"/>
      <c r="BS153" s="577"/>
      <c r="BT153" s="119"/>
      <c r="BU153" s="141"/>
      <c r="BV153" s="577"/>
      <c r="BW153" s="119"/>
      <c r="BX153" s="119"/>
      <c r="BY153" s="119"/>
      <c r="BZ153" s="141"/>
      <c r="CA153" s="119"/>
      <c r="CB153" s="119"/>
      <c r="CC153" s="119"/>
      <c r="CD153" s="119"/>
      <c r="CE153" s="141"/>
      <c r="CF153" s="119"/>
      <c r="CG153" s="119"/>
      <c r="CH153" s="119"/>
      <c r="CI153" s="119"/>
      <c r="CJ153" s="141"/>
      <c r="CK153" s="119"/>
      <c r="CL153" s="119"/>
      <c r="CM153" s="119"/>
      <c r="CN153" s="119"/>
      <c r="CO153" s="141"/>
      <c r="CP153" s="119"/>
      <c r="CQ153" s="119"/>
      <c r="CR153" s="119"/>
      <c r="CS153" s="119"/>
      <c r="CT153" s="141"/>
      <c r="CU153" s="119"/>
      <c r="CV153" s="119"/>
      <c r="CW153" s="119"/>
      <c r="CX153" s="119"/>
      <c r="CY153" s="141"/>
      <c r="CZ153" s="142"/>
      <c r="DA153" s="730"/>
      <c r="DB153" s="735"/>
      <c r="DC153" s="835"/>
      <c r="DD153" s="730"/>
      <c r="DF153" s="730"/>
      <c r="DG153" s="735"/>
      <c r="DH153" s="735"/>
      <c r="DI153" s="730"/>
      <c r="DJ153" s="730"/>
      <c r="DK153" s="730"/>
      <c r="DL153" s="730"/>
      <c r="DM153" s="730"/>
      <c r="DN153" s="730"/>
      <c r="DU153" s="48"/>
      <c r="DV153" s="48"/>
      <c r="DW153" s="730"/>
      <c r="DX153" s="730"/>
      <c r="DY153" s="730"/>
      <c r="DZ153" s="730"/>
      <c r="EA153" s="730"/>
    </row>
    <row r="154" spans="1:131" x14ac:dyDescent="0.2">
      <c r="A154" s="48" t="s">
        <v>154</v>
      </c>
      <c r="B154" s="48"/>
      <c r="C154" s="48"/>
      <c r="D154" s="119"/>
      <c r="E154" s="62"/>
      <c r="F154" s="119"/>
      <c r="G154" s="119"/>
      <c r="H154" s="141"/>
      <c r="I154" s="119"/>
      <c r="J154" s="119"/>
      <c r="K154" s="119"/>
      <c r="L154" s="119"/>
      <c r="M154" s="141"/>
      <c r="N154" s="119"/>
      <c r="O154" s="119"/>
      <c r="P154" s="119"/>
      <c r="Q154" s="119"/>
      <c r="R154" s="141"/>
      <c r="S154" s="119"/>
      <c r="T154" s="119"/>
      <c r="U154" s="119"/>
      <c r="V154" s="119"/>
      <c r="W154" s="141"/>
      <c r="X154" s="119"/>
      <c r="Y154" s="119"/>
      <c r="Z154" s="119"/>
      <c r="AA154" s="119"/>
      <c r="AB154" s="141"/>
      <c r="AC154" s="119"/>
      <c r="AD154" s="119"/>
      <c r="AE154" s="119"/>
      <c r="AF154" s="119"/>
      <c r="AG154" s="141"/>
      <c r="AH154" s="119"/>
      <c r="AI154" s="119"/>
      <c r="AJ154" s="119"/>
      <c r="AK154" s="119"/>
      <c r="AL154" s="141"/>
      <c r="AM154" s="119"/>
      <c r="AN154" s="119"/>
      <c r="AO154" s="119"/>
      <c r="AP154" s="119"/>
      <c r="AQ154" s="141"/>
      <c r="AR154" s="119"/>
      <c r="AS154" s="119"/>
      <c r="AT154" s="142"/>
      <c r="AU154" s="119"/>
      <c r="AV154" s="141"/>
      <c r="AW154" s="119"/>
      <c r="AX154" s="119"/>
      <c r="AY154" s="119"/>
      <c r="AZ154" s="119"/>
      <c r="BA154" s="141"/>
      <c r="BB154" s="119"/>
      <c r="BC154" s="119"/>
      <c r="BD154" s="119"/>
      <c r="BE154" s="119"/>
      <c r="BF154" s="141"/>
      <c r="BG154" s="119"/>
      <c r="BH154" s="62"/>
      <c r="BI154" s="119"/>
      <c r="BJ154" s="119"/>
      <c r="BK154" s="141"/>
      <c r="BL154" s="62"/>
      <c r="BM154" s="119"/>
      <c r="BN154" s="62"/>
      <c r="BO154" s="119"/>
      <c r="BP154" s="141"/>
      <c r="BQ154" s="119"/>
      <c r="BR154" s="119"/>
      <c r="BS154" s="577"/>
      <c r="BT154" s="119"/>
      <c r="BU154" s="141"/>
      <c r="BV154" s="577"/>
      <c r="BW154" s="119"/>
      <c r="BX154" s="119"/>
      <c r="BY154" s="119"/>
      <c r="BZ154" s="141"/>
      <c r="CA154" s="119"/>
      <c r="CB154" s="119"/>
      <c r="CC154" s="119"/>
      <c r="CD154" s="119"/>
      <c r="CE154" s="141"/>
      <c r="CF154" s="119"/>
      <c r="CG154" s="119"/>
      <c r="CH154" s="119"/>
      <c r="CI154" s="119"/>
      <c r="CJ154" s="141"/>
      <c r="CK154" s="119"/>
      <c r="CL154" s="119"/>
      <c r="CM154" s="119"/>
      <c r="CN154" s="119"/>
      <c r="CO154" s="141"/>
      <c r="CP154" s="119"/>
      <c r="CQ154" s="119"/>
      <c r="CR154" s="119"/>
      <c r="CS154" s="119"/>
      <c r="CT154" s="141"/>
      <c r="CU154" s="119"/>
      <c r="CV154" s="119"/>
      <c r="CW154" s="119"/>
      <c r="CX154" s="119"/>
      <c r="CY154" s="141"/>
      <c r="CZ154" s="142"/>
      <c r="DA154" s="730"/>
      <c r="DB154" s="735"/>
      <c r="DC154" s="835"/>
      <c r="DD154" s="730"/>
      <c r="DF154" s="730"/>
      <c r="DG154" s="735"/>
      <c r="DH154" s="735"/>
      <c r="DI154" s="730"/>
      <c r="DJ154" s="730"/>
      <c r="DK154" s="730"/>
      <c r="DL154" s="730"/>
      <c r="DM154" s="730"/>
      <c r="DN154" s="730"/>
      <c r="DU154" s="48"/>
      <c r="DV154" s="48"/>
      <c r="DW154" s="730"/>
      <c r="DX154" s="730"/>
      <c r="DY154" s="730"/>
      <c r="DZ154" s="730"/>
      <c r="EA154" s="730"/>
    </row>
    <row r="155" spans="1:131" x14ac:dyDescent="0.2">
      <c r="A155" s="48"/>
      <c r="B155" s="48" t="s">
        <v>155</v>
      </c>
      <c r="C155" s="48"/>
      <c r="D155" s="62">
        <f>-492.701+1600</f>
        <v>1107.299</v>
      </c>
      <c r="E155" s="62">
        <f>-1021.688+1600-D155</f>
        <v>-528.98699999999997</v>
      </c>
      <c r="F155" s="62">
        <f>-1240.395+1600-D155-E155</f>
        <v>-218.70699999999999</v>
      </c>
      <c r="G155" s="62">
        <f t="shared" ref="G155:G160" si="205">+H155-D155-E155-F155</f>
        <v>-41.878999999999905</v>
      </c>
      <c r="H155" s="141">
        <f>-1282.274+1600</f>
        <v>317.72600000000011</v>
      </c>
      <c r="I155" s="62">
        <v>-217.20400000000001</v>
      </c>
      <c r="J155" s="62">
        <f>-234.676-I155</f>
        <v>-17.47199999999998</v>
      </c>
      <c r="K155" s="62">
        <f>-254.606-I155-J155</f>
        <v>-19.930000000000007</v>
      </c>
      <c r="L155" s="62">
        <f t="shared" ref="L155:L160" si="206">+M155-I155-J155-K155</f>
        <v>1165.9059999999999</v>
      </c>
      <c r="M155" s="141">
        <f>-1488.7+2400</f>
        <v>911.3</v>
      </c>
      <c r="N155" s="62">
        <v>-219.54</v>
      </c>
      <c r="O155" s="62">
        <f>0-336.7-N155</f>
        <v>-117.16</v>
      </c>
      <c r="P155" s="62">
        <f>0-425.3-N155-O155</f>
        <v>-88.600000000000023</v>
      </c>
      <c r="Q155" s="62">
        <f t="shared" ref="Q155:Q160" si="207">+R155-N155-O155-P155</f>
        <v>-92.700000000000017</v>
      </c>
      <c r="R155" s="141">
        <f>9.6-527.6</f>
        <v>-518</v>
      </c>
      <c r="S155" s="62">
        <f>0-52.6</f>
        <v>-52.6</v>
      </c>
      <c r="T155" s="62">
        <f>3695-2771.5-S155</f>
        <v>976.1</v>
      </c>
      <c r="U155" s="62">
        <f>3695-2780.3-S155-T155</f>
        <v>-8.8000000000001819</v>
      </c>
      <c r="V155" s="62">
        <f t="shared" ref="V155:V160" si="208">+W155-S155-T155-U155</f>
        <v>3.8000000000001819</v>
      </c>
      <c r="W155" s="141">
        <f>3705.4-2786.9</f>
        <v>918.5</v>
      </c>
      <c r="X155" s="62">
        <f>716.1-9</f>
        <v>707.1</v>
      </c>
      <c r="Y155" s="62">
        <f>-163.1+716.1-X155</f>
        <v>-154.10000000000002</v>
      </c>
      <c r="Z155" s="62">
        <f>-168.6+716.1-X155-Y155</f>
        <v>-5.5</v>
      </c>
      <c r="AA155" s="62">
        <f t="shared" ref="AA155:AA160" si="209">+AB155-X155-Y155-Z155</f>
        <v>290.50000000000011</v>
      </c>
      <c r="AB155" s="141">
        <f>-374.9+1212.9</f>
        <v>838.00000000000011</v>
      </c>
      <c r="AC155" s="62">
        <v>-49.5</v>
      </c>
      <c r="AD155" s="62">
        <f>-99.5-AC155</f>
        <v>-50</v>
      </c>
      <c r="AE155" s="62">
        <f>-225.2-AC155-AD155</f>
        <v>-125.69999999999999</v>
      </c>
      <c r="AF155" s="62">
        <f t="shared" ref="AF155:AF160" si="210">+AG155-AC155-AD155-AE155</f>
        <v>-352.40000000000003</v>
      </c>
      <c r="AG155" s="141">
        <v>-577.6</v>
      </c>
      <c r="AH155" s="62">
        <v>-269.5</v>
      </c>
      <c r="AI155" s="62">
        <f>-271.4-AH155</f>
        <v>-1.8999999999999773</v>
      </c>
      <c r="AJ155" s="62">
        <f>-529.8-AH155-AI155</f>
        <v>-258.39999999999998</v>
      </c>
      <c r="AK155" s="62">
        <f t="shared" ref="AK155:AK158" si="211">+AL155-AH155-AI155-AJ155</f>
        <v>-263</v>
      </c>
      <c r="AL155" s="141">
        <f>-781.3-11.5</f>
        <v>-792.8</v>
      </c>
      <c r="AM155" s="62">
        <f>-1.3-0.2</f>
        <v>-1.5</v>
      </c>
      <c r="AN155" s="62">
        <f>-24.5-0.2-AM155</f>
        <v>-23.2</v>
      </c>
      <c r="AO155" s="62">
        <f>-101.1-0.2-AM155-AN155</f>
        <v>-76.599999999999994</v>
      </c>
      <c r="AP155" s="62">
        <f t="shared" ref="AP155:AP158" si="212">+AQ155-AM155-AN155-AO155</f>
        <v>-227.4</v>
      </c>
      <c r="AQ155" s="141">
        <f>-328.5-0.2</f>
        <v>-328.7</v>
      </c>
      <c r="AR155" s="62">
        <v>-417.3</v>
      </c>
      <c r="AS155" s="62">
        <f>-419.9-2.2-AR155</f>
        <v>-4.7999999999999545</v>
      </c>
      <c r="AT155" s="179">
        <f>-470.5-AS155-AR155</f>
        <v>-48.400000000000034</v>
      </c>
      <c r="AU155" s="62">
        <f t="shared" ref="AU155:AU160" si="213">+AV155-AR155-AS155-AT155</f>
        <v>-5.3999999999999773</v>
      </c>
      <c r="AV155" s="141">
        <f>-475.9</f>
        <v>-475.9</v>
      </c>
      <c r="AW155" s="62">
        <f>-832-22.8+1400</f>
        <v>545.20000000000005</v>
      </c>
      <c r="AX155" s="62">
        <f>-838-650-34.1+2050-AW155</f>
        <v>-17.299999999999955</v>
      </c>
      <c r="AY155" s="62">
        <f>-851.6-650-35.2+2050-AX155-AW155</f>
        <v>-14.700000000000045</v>
      </c>
      <c r="AZ155" s="62">
        <f t="shared" ref="AZ155:AZ159" si="214">+BA155-AW155-AX155-AY155</f>
        <v>-36.200000000000102</v>
      </c>
      <c r="BA155" s="141">
        <f>-1537.2+2050-35.8</f>
        <v>476.99999999999994</v>
      </c>
      <c r="BB155" s="62">
        <f>1550-13.2-4.9</f>
        <v>1531.8999999999999</v>
      </c>
      <c r="BC155" s="62">
        <f>3725-82.2-9.9-BB155</f>
        <v>2101</v>
      </c>
      <c r="BD155" s="62">
        <f>3725-90.6-82.2-BC155-BB155</f>
        <v>-80.699999999999591</v>
      </c>
      <c r="BE155" s="62">
        <f t="shared" ref="BE155:BE158" si="215">+BF155-BB155-BC155-BD155</f>
        <v>-5.8000000000001819</v>
      </c>
      <c r="BF155" s="141">
        <f>3725-96.4-82.2</f>
        <v>3546.4</v>
      </c>
      <c r="BG155" s="62">
        <v>-4.8</v>
      </c>
      <c r="BH155" s="62">
        <f>-34.4-BG155</f>
        <v>-29.599999999999998</v>
      </c>
      <c r="BI155" s="62">
        <f>+-565.3+800-BH155-BG155</f>
        <v>269.10000000000008</v>
      </c>
      <c r="BJ155" s="62">
        <f t="shared" ref="BJ155:BJ156" si="216">+BK155-BG155-BH155-BI155</f>
        <v>64.599999999999909</v>
      </c>
      <c r="BK155" s="141">
        <f>-605.7+905</f>
        <v>299.29999999999995</v>
      </c>
      <c r="BL155" s="62">
        <v>-79.400000000000006</v>
      </c>
      <c r="BM155" s="62">
        <f>200-109.3-BL155</f>
        <v>170.10000000000002</v>
      </c>
      <c r="BN155" s="62">
        <f>210-148.3-BM155-BL155</f>
        <v>-29.000000000000028</v>
      </c>
      <c r="BO155" s="62">
        <f t="shared" ref="BO155:BO160" si="217">+BP155-BL155-BM155-BN155</f>
        <v>339.6</v>
      </c>
      <c r="BP155" s="141">
        <f>610-208.7</f>
        <v>401.3</v>
      </c>
      <c r="BQ155" s="577">
        <f>700-94.2</f>
        <v>605.79999999999995</v>
      </c>
      <c r="BR155" s="577">
        <f>-842.4+940.6-BQ155</f>
        <v>-507.59999999999991</v>
      </c>
      <c r="BS155" s="577">
        <f>-907.7+1350.1-BR155-BQ155</f>
        <v>344.19999999999982</v>
      </c>
      <c r="BT155" s="62">
        <f t="shared" ref="BT155:BT160" si="218">+BU155-BQ155-BR155-BS155</f>
        <v>551.40000000000009</v>
      </c>
      <c r="BU155" s="141">
        <f>-971.8+1965.6</f>
        <v>993.8</v>
      </c>
      <c r="BV155" s="577">
        <f>-1913.4+1508.5</f>
        <v>-404.90000000000009</v>
      </c>
      <c r="BW155" s="62">
        <f>-4517.9+4017-BV155</f>
        <v>-95.999999999999545</v>
      </c>
      <c r="BX155" s="62">
        <f>6017.9-6522.8-BW155-BV155</f>
        <v>-4.0000000000009095</v>
      </c>
      <c r="BY155" s="62">
        <f t="shared" ref="BY155:BY160" si="219">+BZ155-BV155-BW155-BX155</f>
        <v>1309.6000000000004</v>
      </c>
      <c r="BZ155" s="141">
        <f>-7128.7+7933.4</f>
        <v>804.69999999999982</v>
      </c>
      <c r="CA155" s="62">
        <f>CA111-BZ111</f>
        <v>0</v>
      </c>
      <c r="CB155" s="62">
        <f>CB111-CA111</f>
        <v>0</v>
      </c>
      <c r="CC155" s="62">
        <f>CC111-CB111</f>
        <v>0</v>
      </c>
      <c r="CD155" s="62">
        <f>CD111-CC111</f>
        <v>0</v>
      </c>
      <c r="CE155" s="141">
        <f>+SUM(CA155:CD155)</f>
        <v>0</v>
      </c>
      <c r="CF155" s="62">
        <f>CF111-CE111</f>
        <v>0</v>
      </c>
      <c r="CG155" s="62">
        <f>CG111-CF111</f>
        <v>0</v>
      </c>
      <c r="CH155" s="62">
        <f>CH111-CG111</f>
        <v>0</v>
      </c>
      <c r="CI155" s="62">
        <f>CI111-CH111</f>
        <v>0</v>
      </c>
      <c r="CJ155" s="141">
        <f>+SUM(CF155:CI155)</f>
        <v>0</v>
      </c>
      <c r="CK155" s="62">
        <f>CK111-CJ111</f>
        <v>0</v>
      </c>
      <c r="CL155" s="62">
        <f>CL111-CK111</f>
        <v>0</v>
      </c>
      <c r="CM155" s="62">
        <f>CM111-CL111</f>
        <v>0</v>
      </c>
      <c r="CN155" s="62">
        <f>CN111-CM111</f>
        <v>0</v>
      </c>
      <c r="CO155" s="141">
        <f>+SUM(CK155:CN155)</f>
        <v>0</v>
      </c>
      <c r="CP155" s="62">
        <f>CP111-CO111</f>
        <v>0</v>
      </c>
      <c r="CQ155" s="62">
        <f>CQ111-CP111</f>
        <v>0</v>
      </c>
      <c r="CR155" s="62">
        <f>CR111-CQ111</f>
        <v>0</v>
      </c>
      <c r="CS155" s="62">
        <f>CS111-CR111</f>
        <v>0</v>
      </c>
      <c r="CT155" s="141">
        <f>+SUM(CP155:CS155)</f>
        <v>0</v>
      </c>
      <c r="CU155" s="62">
        <f>CU111-CT111</f>
        <v>0</v>
      </c>
      <c r="CV155" s="62">
        <f>CV111-CU111</f>
        <v>0</v>
      </c>
      <c r="CW155" s="62">
        <f>CW111-CV111</f>
        <v>0</v>
      </c>
      <c r="CX155" s="62">
        <f>CX111-CW111</f>
        <v>0</v>
      </c>
      <c r="CY155" s="141">
        <f>+SUM(CU155:CX155)</f>
        <v>0</v>
      </c>
      <c r="CZ155" s="142"/>
      <c r="DA155" s="730"/>
      <c r="DB155" s="735"/>
      <c r="DC155" s="735"/>
      <c r="DD155" s="730"/>
      <c r="DF155" s="730"/>
      <c r="DG155" s="735"/>
      <c r="DH155" s="735"/>
      <c r="DI155" s="730"/>
      <c r="DJ155" s="730"/>
      <c r="DK155" s="730"/>
      <c r="DL155" s="730"/>
      <c r="DM155" s="730"/>
      <c r="DN155" s="730"/>
      <c r="DU155" s="48"/>
      <c r="DV155" s="48"/>
      <c r="DW155" s="730"/>
      <c r="DX155" s="730"/>
      <c r="DY155" s="730"/>
      <c r="DZ155" s="730"/>
      <c r="EA155" s="730"/>
    </row>
    <row r="156" spans="1:131" x14ac:dyDescent="0.2">
      <c r="A156" s="48"/>
      <c r="B156" s="48" t="s">
        <v>156</v>
      </c>
      <c r="C156" s="48"/>
      <c r="D156" s="62">
        <v>15.734999999999999</v>
      </c>
      <c r="E156" s="62">
        <f>32.407-D156</f>
        <v>16.671999999999997</v>
      </c>
      <c r="F156" s="62">
        <f>165.209-D156-E156</f>
        <v>132.80199999999999</v>
      </c>
      <c r="G156" s="62">
        <f t="shared" si="205"/>
        <v>-166.322</v>
      </c>
      <c r="H156" s="141">
        <v>-1.113</v>
      </c>
      <c r="I156" s="62">
        <v>265.89100000000002</v>
      </c>
      <c r="J156" s="62">
        <f>192.472-I156</f>
        <v>-73.419000000000011</v>
      </c>
      <c r="K156" s="62">
        <f>219.953-I156-J156</f>
        <v>27.480999999999995</v>
      </c>
      <c r="L156" s="62">
        <f t="shared" si="206"/>
        <v>-265.75300000000004</v>
      </c>
      <c r="M156" s="141">
        <v>-45.8</v>
      </c>
      <c r="N156" s="62">
        <v>46.32</v>
      </c>
      <c r="O156" s="62">
        <f>55.1-N156</f>
        <v>8.7800000000000011</v>
      </c>
      <c r="P156" s="62">
        <f>111.1-N156-O156</f>
        <v>56</v>
      </c>
      <c r="Q156" s="62">
        <f t="shared" si="207"/>
        <v>-47.300000000000004</v>
      </c>
      <c r="R156" s="141">
        <v>63.8</v>
      </c>
      <c r="S156" s="62">
        <v>83.9</v>
      </c>
      <c r="T156" s="62">
        <f>212.1-S156</f>
        <v>128.19999999999999</v>
      </c>
      <c r="U156" s="62">
        <f>210.5-S156-T156</f>
        <v>-1.5999999999999943</v>
      </c>
      <c r="V156" s="62">
        <f t="shared" si="208"/>
        <v>-163.4</v>
      </c>
      <c r="W156" s="141">
        <v>47.1</v>
      </c>
      <c r="X156" s="62">
        <v>89.9</v>
      </c>
      <c r="Y156" s="62">
        <f>-2.1-X156</f>
        <v>-92</v>
      </c>
      <c r="Z156" s="62">
        <f>-57.6-X156-Y156</f>
        <v>-55.5</v>
      </c>
      <c r="AA156" s="62">
        <f t="shared" si="209"/>
        <v>277</v>
      </c>
      <c r="AB156" s="141">
        <v>219.4</v>
      </c>
      <c r="AC156" s="62">
        <v>85.8</v>
      </c>
      <c r="AD156" s="62">
        <f>-281-AC156</f>
        <v>-366.8</v>
      </c>
      <c r="AE156" s="62">
        <f>-137.4-AC156-AD156</f>
        <v>143.60000000000002</v>
      </c>
      <c r="AF156" s="62">
        <f t="shared" si="210"/>
        <v>27.699999999999989</v>
      </c>
      <c r="AG156" s="141">
        <v>-109.7</v>
      </c>
      <c r="AH156" s="62">
        <v>98.6</v>
      </c>
      <c r="AI156" s="62">
        <f>-60.2-AH156</f>
        <v>-158.80000000000001</v>
      </c>
      <c r="AJ156" s="62">
        <f>124.2-AH156-AI156</f>
        <v>184.40000000000003</v>
      </c>
      <c r="AK156" s="62">
        <f t="shared" si="211"/>
        <v>-7.1000000000000227</v>
      </c>
      <c r="AL156" s="141">
        <v>117.1</v>
      </c>
      <c r="AM156" s="62">
        <v>194.6</v>
      </c>
      <c r="AN156" s="62">
        <f>-24.1-AM156</f>
        <v>-218.7</v>
      </c>
      <c r="AO156" s="62">
        <f>-16.7-AM156-AN156</f>
        <v>7.4000000000000057</v>
      </c>
      <c r="AP156" s="62">
        <f t="shared" si="212"/>
        <v>-273</v>
      </c>
      <c r="AQ156" s="141">
        <v>-289.7</v>
      </c>
      <c r="AR156" s="62">
        <v>168.5</v>
      </c>
      <c r="AS156" s="62">
        <f>113.3-AR156</f>
        <v>-55.2</v>
      </c>
      <c r="AT156" s="179">
        <f>223.2-AS156-AR156</f>
        <v>109.89999999999998</v>
      </c>
      <c r="AU156" s="62">
        <f t="shared" si="213"/>
        <v>26.600000000000023</v>
      </c>
      <c r="AV156" s="141">
        <v>249.8</v>
      </c>
      <c r="AW156" s="62">
        <v>-274.39999999999998</v>
      </c>
      <c r="AX156" s="62">
        <f>-358.3-AW156</f>
        <v>-83.900000000000034</v>
      </c>
      <c r="AY156" s="62">
        <f>-356-AX156-AW156</f>
        <v>2.3000000000000114</v>
      </c>
      <c r="AZ156" s="62">
        <f t="shared" si="214"/>
        <v>-16.600000000000023</v>
      </c>
      <c r="BA156" s="141">
        <f>-372.6</f>
        <v>-372.6</v>
      </c>
      <c r="BB156" s="62">
        <v>221.1</v>
      </c>
      <c r="BC156" s="62">
        <f>272.1-BB156</f>
        <v>51.000000000000028</v>
      </c>
      <c r="BD156" s="62">
        <f>170.6-BC156-BB156</f>
        <v>-101.50000000000003</v>
      </c>
      <c r="BE156" s="62">
        <f t="shared" si="215"/>
        <v>-113.30000000000001</v>
      </c>
      <c r="BF156" s="141">
        <v>57.3</v>
      </c>
      <c r="BG156" s="62">
        <v>178.1</v>
      </c>
      <c r="BH156" s="62">
        <f>197-BG156</f>
        <v>18.900000000000006</v>
      </c>
      <c r="BI156" s="62">
        <f>50.6-BH156-BG156</f>
        <v>-146.4</v>
      </c>
      <c r="BJ156" s="62">
        <f t="shared" si="216"/>
        <v>-37.5</v>
      </c>
      <c r="BK156" s="141">
        <v>13.1</v>
      </c>
      <c r="BL156" s="62">
        <v>50.9</v>
      </c>
      <c r="BM156" s="62">
        <f>-18.5-BL156</f>
        <v>-69.400000000000006</v>
      </c>
      <c r="BN156" s="62">
        <f>-15.9-BM156-BL156</f>
        <v>2.6000000000000085</v>
      </c>
      <c r="BO156" s="62">
        <f t="shared" si="217"/>
        <v>376.5</v>
      </c>
      <c r="BP156" s="141">
        <v>360.6</v>
      </c>
      <c r="BQ156" s="577">
        <v>-379.1</v>
      </c>
      <c r="BR156" s="577">
        <f>-295.8-BQ156</f>
        <v>83.300000000000011</v>
      </c>
      <c r="BS156" s="577">
        <f>-55.9-BR156-BQ156</f>
        <v>239.9</v>
      </c>
      <c r="BT156" s="62">
        <f t="shared" si="218"/>
        <v>253.00000000000003</v>
      </c>
      <c r="BU156" s="141">
        <v>197.1</v>
      </c>
      <c r="BV156" s="577">
        <v>381.3</v>
      </c>
      <c r="BW156" s="62">
        <f>206.6-BV156</f>
        <v>-174.70000000000002</v>
      </c>
      <c r="BX156" s="62">
        <f>604.9-BW156-BV156</f>
        <v>398.3</v>
      </c>
      <c r="BY156" s="62">
        <f t="shared" si="219"/>
        <v>-467.70000000000005</v>
      </c>
      <c r="BZ156" s="141">
        <v>137.19999999999999</v>
      </c>
      <c r="CA156" s="62">
        <f ca="1">CA105+CA106-BZ105-BZ106</f>
        <v>109.82905587242199</v>
      </c>
      <c r="CB156" s="62">
        <f ca="1">CB105+CB106-CA105-CA106</f>
        <v>1.7303853046868873</v>
      </c>
      <c r="CC156" s="62">
        <f ca="1">CC105+CC106-CB105-CB106</f>
        <v>160.42827575842233</v>
      </c>
      <c r="CD156" s="62">
        <f ca="1">CD105+CD106-CC105-CC106</f>
        <v>209.47767633799953</v>
      </c>
      <c r="CE156" s="141">
        <f ca="1">+SUM(CA156:CD156)</f>
        <v>481.46539327353076</v>
      </c>
      <c r="CF156" s="62">
        <f ca="1">CF105+CF106-CE105-CE106</f>
        <v>137.44377998284466</v>
      </c>
      <c r="CG156" s="62">
        <f ca="1">CG105+CG106-CF105-CF106</f>
        <v>54.835540866515615</v>
      </c>
      <c r="CH156" s="62">
        <f ca="1">CH105+CH106-CG105-CG106</f>
        <v>239.52982281012368</v>
      </c>
      <c r="CI156" s="62">
        <f ca="1">CI105+CI106-CH105-CH106</f>
        <v>300.68141201187967</v>
      </c>
      <c r="CJ156" s="141">
        <f ca="1">+SUM(CF156:CI156)</f>
        <v>732.49055567136361</v>
      </c>
      <c r="CK156" s="62">
        <f ca="1">CK105+CK106-CJ105-CJ106</f>
        <v>21.170792990858853</v>
      </c>
      <c r="CL156" s="62">
        <f ca="1">CL105+CL106-CK105-CK106</f>
        <v>-93.385608484368319</v>
      </c>
      <c r="CM156" s="62">
        <f ca="1">CM105+CM106-CL105-CL106</f>
        <v>117.89984614043711</v>
      </c>
      <c r="CN156" s="62">
        <f ca="1">CN105+CN106-CM105-CM106</f>
        <v>188.66723616678445</v>
      </c>
      <c r="CO156" s="141">
        <f ca="1">+SUM(CK156:CN156)</f>
        <v>234.35226681371211</v>
      </c>
      <c r="CP156" s="62">
        <f ca="1">CP105+CP106-CO105-CO106</f>
        <v>-41.476209858890613</v>
      </c>
      <c r="CQ156" s="62">
        <f ca="1">CQ105+CQ106-CP105-CP106</f>
        <v>-199.2472795669965</v>
      </c>
      <c r="CR156" s="62">
        <f ca="1">CR105+CR106-CQ105-CQ106</f>
        <v>29.986526441280102</v>
      </c>
      <c r="CS156" s="62">
        <f ca="1">CS105+CS106-CR105-CR106</f>
        <v>112.96762698809853</v>
      </c>
      <c r="CT156" s="141">
        <f ca="1">+SUM(CP156:CS156)</f>
        <v>-97.769335996508502</v>
      </c>
      <c r="CU156" s="62">
        <f ca="1">CU105+CU106-CT105-CT106</f>
        <v>-62.804600590137667</v>
      </c>
      <c r="CV156" s="62">
        <f ca="1">CV105+CV106-CU105-CU106</f>
        <v>-224.37316967528392</v>
      </c>
      <c r="CW156" s="62">
        <f ca="1">CW105+CW106-CV105-CV106</f>
        <v>11.813035139512021</v>
      </c>
      <c r="CX156" s="62">
        <f ca="1">CX105+CX106-CW105-CW106</f>
        <v>103.74058225801123</v>
      </c>
      <c r="CY156" s="141">
        <f ca="1">+SUM(CU156:CX156)</f>
        <v>-171.62415286789837</v>
      </c>
      <c r="CZ156" s="142"/>
      <c r="DA156" s="723"/>
      <c r="DB156" s="735"/>
      <c r="DC156" s="735"/>
      <c r="DD156" s="730"/>
      <c r="DF156" s="730"/>
      <c r="DG156" s="735"/>
      <c r="DH156" s="735"/>
      <c r="DI156" s="730"/>
      <c r="DJ156" s="730"/>
      <c r="DK156" s="730"/>
      <c r="DL156" s="730"/>
      <c r="DM156" s="730"/>
      <c r="DN156" s="730"/>
      <c r="DU156" s="48"/>
      <c r="DV156" s="48"/>
      <c r="DW156" s="730"/>
      <c r="DX156" s="730"/>
      <c r="DY156" s="730"/>
      <c r="DZ156" s="730"/>
      <c r="EA156" s="730"/>
    </row>
    <row r="157" spans="1:131" x14ac:dyDescent="0.2">
      <c r="A157" s="48"/>
      <c r="B157" s="48" t="s">
        <v>157</v>
      </c>
      <c r="C157" s="48"/>
      <c r="D157" s="62">
        <v>0</v>
      </c>
      <c r="E157" s="62">
        <f>426.359-D157</f>
        <v>426.35899999999998</v>
      </c>
      <c r="F157" s="62">
        <f>426.069-D157-E157</f>
        <v>-0.28999999999996362</v>
      </c>
      <c r="G157" s="62">
        <f t="shared" si="205"/>
        <v>1.6999999999995907E-2</v>
      </c>
      <c r="H157" s="178">
        <v>426.08600000000001</v>
      </c>
      <c r="I157" s="62">
        <v>0</v>
      </c>
      <c r="J157" s="62">
        <f>0-I157</f>
        <v>0</v>
      </c>
      <c r="K157" s="62">
        <f>0-I157-J157</f>
        <v>0</v>
      </c>
      <c r="L157" s="62">
        <f t="shared" si="206"/>
        <v>0</v>
      </c>
      <c r="M157" s="178">
        <v>0</v>
      </c>
      <c r="N157" s="62">
        <v>0</v>
      </c>
      <c r="O157" s="62">
        <f>0-N157</f>
        <v>0</v>
      </c>
      <c r="P157" s="62">
        <f>0-N157-O157</f>
        <v>0</v>
      </c>
      <c r="Q157" s="62">
        <f t="shared" si="207"/>
        <v>0</v>
      </c>
      <c r="R157" s="178">
        <v>0</v>
      </c>
      <c r="S157" s="62">
        <v>0</v>
      </c>
      <c r="T157" s="62">
        <f>-82-S157</f>
        <v>-82</v>
      </c>
      <c r="U157" s="62">
        <f>-100-S157-T157</f>
        <v>-18</v>
      </c>
      <c r="V157" s="62">
        <f t="shared" si="208"/>
        <v>0</v>
      </c>
      <c r="W157" s="178">
        <v>-100</v>
      </c>
      <c r="X157" s="62">
        <v>-500</v>
      </c>
      <c r="Y157" s="62">
        <f>-500-X157</f>
        <v>0</v>
      </c>
      <c r="Z157" s="62">
        <f>-500-X157-Y157</f>
        <v>0</v>
      </c>
      <c r="AA157" s="62">
        <f t="shared" si="209"/>
        <v>0</v>
      </c>
      <c r="AB157" s="178">
        <v>-500</v>
      </c>
      <c r="AC157" s="62">
        <v>0</v>
      </c>
      <c r="AD157" s="62">
        <f>0-AC157</f>
        <v>0</v>
      </c>
      <c r="AE157" s="62">
        <f>0-AC157-AD157</f>
        <v>0</v>
      </c>
      <c r="AF157" s="62">
        <f t="shared" si="210"/>
        <v>0</v>
      </c>
      <c r="AG157" s="178">
        <v>0</v>
      </c>
      <c r="AH157" s="62">
        <v>0</v>
      </c>
      <c r="AI157" s="62">
        <f>0-AH157</f>
        <v>0</v>
      </c>
      <c r="AJ157" s="62">
        <f>0-AH157-AI157</f>
        <v>0</v>
      </c>
      <c r="AK157" s="62">
        <f ca="1">+AL157-AH157-AI157-AJ157</f>
        <v>0</v>
      </c>
      <c r="AL157" s="178">
        <f ca="1">+SUM(AH157:AK157)</f>
        <v>0</v>
      </c>
      <c r="AM157" s="62">
        <v>-300</v>
      </c>
      <c r="AN157" s="62">
        <f>-300-AM157</f>
        <v>0</v>
      </c>
      <c r="AO157" s="62">
        <f>-300-AM157-AN157</f>
        <v>0</v>
      </c>
      <c r="AP157" s="62">
        <f t="shared" si="212"/>
        <v>0</v>
      </c>
      <c r="AQ157" s="178">
        <v>-300</v>
      </c>
      <c r="AR157" s="62">
        <v>0</v>
      </c>
      <c r="AS157" s="62">
        <f>-187.5-AR157</f>
        <v>-187.5</v>
      </c>
      <c r="AT157" s="179">
        <f>-281.3-AS157-AR157</f>
        <v>-93.800000000000011</v>
      </c>
      <c r="AU157" s="62">
        <f t="shared" si="213"/>
        <v>-132.39999999999998</v>
      </c>
      <c r="AV157" s="178">
        <v>-413.7</v>
      </c>
      <c r="AW157" s="62">
        <v>-383</v>
      </c>
      <c r="AX157" s="62">
        <f>-383-AW157</f>
        <v>0</v>
      </c>
      <c r="AY157" s="62">
        <f>-383-AX157-AW157</f>
        <v>0</v>
      </c>
      <c r="AZ157" s="62">
        <f t="shared" si="214"/>
        <v>0</v>
      </c>
      <c r="BA157" s="178">
        <f>-383</f>
        <v>-383</v>
      </c>
      <c r="BB157" s="62">
        <v>0</v>
      </c>
      <c r="BC157" s="62">
        <f>BC202</f>
        <v>0</v>
      </c>
      <c r="BD157" s="62">
        <v>0</v>
      </c>
      <c r="BE157" s="62">
        <f>+BF157-BB157-BC157-BD157</f>
        <v>0</v>
      </c>
      <c r="BF157" s="178">
        <v>0</v>
      </c>
      <c r="BG157" s="62">
        <v>0</v>
      </c>
      <c r="BH157" s="62">
        <v>0</v>
      </c>
      <c r="BI157" s="62">
        <v>0</v>
      </c>
      <c r="BJ157" s="62">
        <f>+BK157-BG157-BH157-BI157</f>
        <v>0</v>
      </c>
      <c r="BK157" s="178">
        <v>0</v>
      </c>
      <c r="BL157" s="62">
        <v>0</v>
      </c>
      <c r="BM157" s="62">
        <f>33.2-BL157</f>
        <v>33.200000000000003</v>
      </c>
      <c r="BN157" s="62">
        <f>98.9-BM157-BL157</f>
        <v>65.7</v>
      </c>
      <c r="BO157" s="62">
        <f>+BP157-BL157-BM157-BN157</f>
        <v>-19.700000000000003</v>
      </c>
      <c r="BP157" s="178">
        <f>113-33.8</f>
        <v>79.2</v>
      </c>
      <c r="BQ157" s="577">
        <f>-1+15.9</f>
        <v>14.9</v>
      </c>
      <c r="BR157" s="577">
        <f>-5.5+33.3-BQ157</f>
        <v>12.899999999999997</v>
      </c>
      <c r="BS157" s="577">
        <f>-372.6+39.3-BR157-BQ157</f>
        <v>-361.09999999999997</v>
      </c>
      <c r="BT157" s="62">
        <f>+BU157-BQ157-BR157-BS157</f>
        <v>-729.70000000000027</v>
      </c>
      <c r="BU157" s="178">
        <f>-1122.7+59.7</f>
        <v>-1063</v>
      </c>
      <c r="BV157" s="577">
        <v>0</v>
      </c>
      <c r="BW157" s="62">
        <f>-14.3-BV157</f>
        <v>-14.3</v>
      </c>
      <c r="BX157" s="62">
        <f>-239.2-BW157-BV157</f>
        <v>-224.89999999999998</v>
      </c>
      <c r="BY157" s="62">
        <f>+BZ157-BV157-BW157-BX157</f>
        <v>-799.30000000000007</v>
      </c>
      <c r="BZ157" s="178">
        <v>-1038.5</v>
      </c>
      <c r="CA157" s="62">
        <f>CA208</f>
        <v>-303.54327525999997</v>
      </c>
      <c r="CB157" s="62">
        <f>CB208</f>
        <v>-310.69411881183544</v>
      </c>
      <c r="CC157" s="62">
        <f>CC208</f>
        <v>-315.89431671000062</v>
      </c>
      <c r="CD157" s="62">
        <f>CD208</f>
        <v>-295.50900000000001</v>
      </c>
      <c r="CE157" s="178">
        <f>+SUM(CA157:CD157)</f>
        <v>-1225.6407107818361</v>
      </c>
      <c r="CF157" s="62">
        <f>CF208</f>
        <v>-478.54327525999997</v>
      </c>
      <c r="CG157" s="62">
        <f>CG208</f>
        <v>-485.69411881183544</v>
      </c>
      <c r="CH157" s="62">
        <f>CH208</f>
        <v>-490.89431671000062</v>
      </c>
      <c r="CI157" s="62">
        <f>CI208</f>
        <v>-470.50900000000001</v>
      </c>
      <c r="CJ157" s="178">
        <f>+SUM(CF157:CI157)</f>
        <v>-1925.6407107818361</v>
      </c>
      <c r="CK157" s="62">
        <f>CK208</f>
        <v>-478.54327525999997</v>
      </c>
      <c r="CL157" s="62">
        <f>CL208</f>
        <v>-485.69411881183544</v>
      </c>
      <c r="CM157" s="62">
        <f>CM208</f>
        <v>-490.89431671000062</v>
      </c>
      <c r="CN157" s="62">
        <f>CN208</f>
        <v>-470.50900000000001</v>
      </c>
      <c r="CO157" s="178">
        <f>+SUM(CK157:CN157)</f>
        <v>-1925.6407107818361</v>
      </c>
      <c r="CP157" s="62">
        <f>CP208</f>
        <v>-478.54327525999997</v>
      </c>
      <c r="CQ157" s="62">
        <f>CQ208</f>
        <v>-485.69411881183544</v>
      </c>
      <c r="CR157" s="62">
        <f>CR208</f>
        <v>-490.89431671000062</v>
      </c>
      <c r="CS157" s="62">
        <f>CS208</f>
        <v>-470.50900000000001</v>
      </c>
      <c r="CT157" s="178">
        <f>+SUM(CP157:CS157)</f>
        <v>-1925.6407107818361</v>
      </c>
      <c r="CU157" s="62">
        <f>CU208</f>
        <v>-478.54327525999997</v>
      </c>
      <c r="CV157" s="62">
        <f>CV208</f>
        <v>-485.69411881183544</v>
      </c>
      <c r="CW157" s="62">
        <f>CW208</f>
        <v>-490.89431671000062</v>
      </c>
      <c r="CX157" s="62">
        <f>CX208</f>
        <v>-470.50900000000001</v>
      </c>
      <c r="CY157" s="178">
        <f>+SUM(CU157:CX157)</f>
        <v>-1925.6407107818361</v>
      </c>
      <c r="CZ157" s="179"/>
      <c r="DA157" s="730"/>
      <c r="DB157" s="735"/>
      <c r="DC157" s="735"/>
      <c r="DD157" s="730"/>
      <c r="DF157" s="730"/>
      <c r="DG157" s="735"/>
      <c r="DH157" s="735"/>
      <c r="DI157" s="730"/>
      <c r="DJ157" s="730"/>
      <c r="DK157" s="730"/>
      <c r="DL157" s="730"/>
      <c r="DM157" s="730"/>
      <c r="DN157" s="730"/>
      <c r="DU157" s="48"/>
      <c r="DV157" s="48"/>
      <c r="DW157" s="730"/>
      <c r="DX157" s="730"/>
      <c r="DY157" s="730"/>
      <c r="DZ157" s="730"/>
      <c r="EA157" s="730"/>
    </row>
    <row r="158" spans="1:131" x14ac:dyDescent="0.2">
      <c r="A158" s="48"/>
      <c r="B158" s="48" t="s">
        <v>271</v>
      </c>
      <c r="C158" s="48"/>
      <c r="D158" s="62">
        <f>7.571-32.547</f>
        <v>-24.975999999999999</v>
      </c>
      <c r="E158" s="62">
        <f>-33.473+15.227+1.817-D158</f>
        <v>8.5470000000000006</v>
      </c>
      <c r="F158" s="62">
        <f>-34.147+23.756+1.822-D158-E158</f>
        <v>7.8599999999999994</v>
      </c>
      <c r="G158" s="62">
        <f t="shared" si="205"/>
        <v>14.319000000000006</v>
      </c>
      <c r="H158" s="178">
        <f>-33.748+3.481+36.017</f>
        <v>5.7500000000000071</v>
      </c>
      <c r="I158" s="62">
        <f>5.814+0.001</f>
        <v>5.8150000000000004</v>
      </c>
      <c r="J158" s="62">
        <f>-0.901+17.351+2.432-I158</f>
        <v>13.066999999999997</v>
      </c>
      <c r="K158" s="62">
        <f>-0.901+25.257+2.441-I158-J158</f>
        <v>7.9150000000000027</v>
      </c>
      <c r="L158" s="62">
        <f t="shared" si="206"/>
        <v>1.703000000000003</v>
      </c>
      <c r="M158" s="178">
        <f>-24.4+4.7+48.2</f>
        <v>28.500000000000004</v>
      </c>
      <c r="N158" s="62">
        <f>8.674+0.031</f>
        <v>8.7050000000000001</v>
      </c>
      <c r="O158" s="62">
        <f>17.3+3-N158</f>
        <v>11.595000000000001</v>
      </c>
      <c r="P158" s="62">
        <f>21+3.1-N158-O158</f>
        <v>3.8000000000000007</v>
      </c>
      <c r="Q158" s="62">
        <f t="shared" si="207"/>
        <v>13.7</v>
      </c>
      <c r="R158" s="178">
        <f>31.5+6.3</f>
        <v>37.799999999999997</v>
      </c>
      <c r="S158" s="62">
        <f>8.6+2.8</f>
        <v>11.399999999999999</v>
      </c>
      <c r="T158" s="62">
        <f>33.8+8.8+3.2-19.3-S158</f>
        <v>15.099999999999998</v>
      </c>
      <c r="U158" s="62">
        <f>51.3+12+3.3-20.2-S158-T158</f>
        <v>19.899999999999995</v>
      </c>
      <c r="V158" s="62">
        <f t="shared" si="208"/>
        <v>20.500000000000011</v>
      </c>
      <c r="W158" s="178">
        <f>-23.8+5.9+21.4+63.4</f>
        <v>66.900000000000006</v>
      </c>
      <c r="X158" s="62">
        <f>7+5-5.3</f>
        <v>6.7</v>
      </c>
      <c r="Y158" s="62">
        <f>12.5+7.4+3-6.1-X158</f>
        <v>10.099999999999998</v>
      </c>
      <c r="Z158" s="62">
        <f>17.7+11.4+3-6.1-X158-Y158</f>
        <v>9.2000000000000028</v>
      </c>
      <c r="AA158" s="62">
        <f t="shared" si="209"/>
        <v>1.5000000000000036</v>
      </c>
      <c r="AB158" s="178">
        <f>-10.6+6.2+11.3+20.6</f>
        <v>27.500000000000004</v>
      </c>
      <c r="AC158" s="62">
        <f>12.1+4.7</f>
        <v>16.8</v>
      </c>
      <c r="AD158" s="62">
        <f>19.2+6.4+2.9-AC158</f>
        <v>11.7</v>
      </c>
      <c r="AE158" s="62">
        <f>25.5+7+2.9-AC158-AD158</f>
        <v>6.8999999999999986</v>
      </c>
      <c r="AF158" s="62">
        <f t="shared" si="210"/>
        <v>4.5000000000000071</v>
      </c>
      <c r="AG158" s="178">
        <f>27.1+7.2+5.6</f>
        <v>39.900000000000006</v>
      </c>
      <c r="AH158" s="62">
        <f>3.4+1.2</f>
        <v>4.5999999999999996</v>
      </c>
      <c r="AI158" s="62">
        <f>9+2.3+2.2-AH158</f>
        <v>8.9</v>
      </c>
      <c r="AJ158" s="62">
        <f>33.2+10.7+2.3+2.5-AH158-AI158</f>
        <v>35.200000000000003</v>
      </c>
      <c r="AK158" s="62">
        <f t="shared" si="211"/>
        <v>4</v>
      </c>
      <c r="AL158" s="178">
        <f>33.2+12.3+4.5+2.7</f>
        <v>52.7</v>
      </c>
      <c r="AM158" s="62">
        <f>16.7+4.6</f>
        <v>21.299999999999997</v>
      </c>
      <c r="AN158" s="62">
        <f>18+4.7+2.1-AM158</f>
        <v>3.5000000000000036</v>
      </c>
      <c r="AO158" s="62">
        <f>35.8+7.1+2.1-AM158-AN158</f>
        <v>20.2</v>
      </c>
      <c r="AP158" s="62">
        <f t="shared" si="212"/>
        <v>27.700000000000006</v>
      </c>
      <c r="AQ158" s="178">
        <f>61+7.4+4.3</f>
        <v>72.7</v>
      </c>
      <c r="AR158" s="62">
        <f>36.5+9.9-2.2</f>
        <v>44.199999999999996</v>
      </c>
      <c r="AS158" s="62">
        <f>39+10.6+2.4-AR158</f>
        <v>7.8000000000000043</v>
      </c>
      <c r="AT158" s="179">
        <f>-2.2+42.3+11.1+2.4-AS158-AR158</f>
        <v>1.5999999999999943</v>
      </c>
      <c r="AU158" s="62">
        <f t="shared" si="213"/>
        <v>11.099999999999994</v>
      </c>
      <c r="AV158" s="178">
        <f>-2.2+51.3+10.9+4.7</f>
        <v>64.699999999999989</v>
      </c>
      <c r="AW158" s="62">
        <f>-0.5+12.4+2.6</f>
        <v>14.5</v>
      </c>
      <c r="AX158" s="62">
        <f>-0.5+110.5+11.4+2.1-AW158</f>
        <v>109</v>
      </c>
      <c r="AY158" s="62">
        <f>-0.5+135+17.2+2.1-AX158-AW158</f>
        <v>30.299999999999983</v>
      </c>
      <c r="AZ158" s="62">
        <f t="shared" si="214"/>
        <v>26.100000000000023</v>
      </c>
      <c r="BA158" s="178">
        <f>-0.5+158.3+17.7+4.4</f>
        <v>179.9</v>
      </c>
      <c r="BB158" s="62">
        <f>62.4+47.3-1550-17.2</f>
        <v>-1457.5</v>
      </c>
      <c r="BC158" s="62">
        <f>77.5+53.8+2.5-18-BB158</f>
        <v>1573.3</v>
      </c>
      <c r="BD158" s="62">
        <f>93.1+64.7+2.5-18-BC158-BB158</f>
        <v>26.5</v>
      </c>
      <c r="BE158" s="62">
        <f t="shared" si="215"/>
        <v>31</v>
      </c>
      <c r="BF158" s="178">
        <f>+-18+5.8+65.4+120.1</f>
        <v>173.3</v>
      </c>
      <c r="BG158" s="62">
        <f>57.4+10.8-28.4</f>
        <v>39.800000000000004</v>
      </c>
      <c r="BH158" s="62">
        <f>+-543.3-28.4-2+64+18.3+3.8-BG158</f>
        <v>-527.39999999999986</v>
      </c>
      <c r="BI158" s="62">
        <f>-543.3-28.4-13.3+76+30.4+3.8-BH158-BG158</f>
        <v>12.799999999999962</v>
      </c>
      <c r="BJ158" s="62">
        <f>+BK158-BG158-BH158-BI158</f>
        <v>146</v>
      </c>
      <c r="BK158" s="178">
        <f>-28.4-543.3-13.8+115+78+63.7</f>
        <v>-328.7999999999999</v>
      </c>
      <c r="BL158" s="62">
        <f>-38.3+63.6+9.6</f>
        <v>34.900000000000006</v>
      </c>
      <c r="BM158" s="62">
        <f>89.7-38.4-7.6-BL158</f>
        <v>8.7999999999999972</v>
      </c>
      <c r="BN158" s="62">
        <f>-7.9-38.4+204.2-BM158-BL158</f>
        <v>114.19999999999996</v>
      </c>
      <c r="BO158" s="62">
        <f>+BP158-BL158-BM158-BN158</f>
        <v>18.600000000000051</v>
      </c>
      <c r="BP158" s="178">
        <f>-13.3-38.6+25+203.4</f>
        <v>176.5</v>
      </c>
      <c r="BQ158" s="577">
        <f>9.5-45.5-3.2+68.8</f>
        <v>29.599999999999994</v>
      </c>
      <c r="BR158" s="577">
        <f>100.9-4.6-64.7-BQ158</f>
        <v>2.0000000000000142</v>
      </c>
      <c r="BS158" s="577">
        <f>-66.9-6.6+112.2-BR158-BQ158</f>
        <v>7.0999999999999943</v>
      </c>
      <c r="BT158" s="62">
        <f>+BU158-BQ158-BR158-BS158</f>
        <v>13.700000000000003</v>
      </c>
      <c r="BU158" s="178">
        <f>-64.9-14.1+131.4</f>
        <v>52.400000000000006</v>
      </c>
      <c r="BV158" s="577">
        <f>-22.3-11.8+16.6</f>
        <v>-17.5</v>
      </c>
      <c r="BW158" s="62">
        <f>32-20.2-22.5-BV158</f>
        <v>6.8000000000000007</v>
      </c>
      <c r="BX158" s="62">
        <f>37.5-22.9-32.4-BW158-BV158</f>
        <v>-7.0999999999999979</v>
      </c>
      <c r="BY158" s="62">
        <f>+BZ158-BV158-BW158-BX158</f>
        <v>-86.7</v>
      </c>
      <c r="BZ158" s="178">
        <f>49.4-31.7-122.2</f>
        <v>-104.5</v>
      </c>
      <c r="CA158" s="62">
        <v>0</v>
      </c>
      <c r="CB158" s="62">
        <v>0</v>
      </c>
      <c r="CC158" s="62">
        <v>0</v>
      </c>
      <c r="CD158" s="62">
        <v>0</v>
      </c>
      <c r="CE158" s="178">
        <f>+CA158+CB158+CC158+CD158</f>
        <v>0</v>
      </c>
      <c r="CF158" s="62">
        <v>0</v>
      </c>
      <c r="CG158" s="62">
        <v>0</v>
      </c>
      <c r="CH158" s="62">
        <v>0</v>
      </c>
      <c r="CI158" s="62">
        <v>0</v>
      </c>
      <c r="CJ158" s="178">
        <f>+CF158+CG158+CH158+CI158</f>
        <v>0</v>
      </c>
      <c r="CK158" s="62">
        <v>0</v>
      </c>
      <c r="CL158" s="62">
        <v>0</v>
      </c>
      <c r="CM158" s="62">
        <v>0</v>
      </c>
      <c r="CN158" s="62">
        <v>0</v>
      </c>
      <c r="CO158" s="178">
        <f>+CK158+CL158+CM158+CN158</f>
        <v>0</v>
      </c>
      <c r="CP158" s="62">
        <v>0</v>
      </c>
      <c r="CQ158" s="62">
        <v>0</v>
      </c>
      <c r="CR158" s="62">
        <v>0</v>
      </c>
      <c r="CS158" s="62">
        <v>0</v>
      </c>
      <c r="CT158" s="178">
        <f>+CP158+CQ158+CR158+CS158</f>
        <v>0</v>
      </c>
      <c r="CU158" s="62">
        <v>0</v>
      </c>
      <c r="CV158" s="62">
        <v>0</v>
      </c>
      <c r="CW158" s="62">
        <v>0</v>
      </c>
      <c r="CX158" s="62">
        <v>0</v>
      </c>
      <c r="CY158" s="178">
        <f>+CU158+CV158+CW158+CX158</f>
        <v>0</v>
      </c>
      <c r="CZ158" s="179"/>
      <c r="DA158" s="730"/>
      <c r="DB158" s="735"/>
      <c r="DC158" s="735"/>
      <c r="DD158" s="730"/>
      <c r="DF158" s="730"/>
      <c r="DG158" s="735"/>
      <c r="DH158" s="735"/>
      <c r="DI158" s="730"/>
      <c r="DJ158" s="730"/>
      <c r="DK158" s="730"/>
      <c r="DL158" s="730"/>
      <c r="DM158" s="730"/>
      <c r="DN158" s="730"/>
      <c r="DU158" s="48"/>
      <c r="DV158" s="48"/>
      <c r="DW158" s="730"/>
      <c r="DX158" s="730"/>
      <c r="DY158" s="730"/>
      <c r="DZ158" s="730"/>
      <c r="EA158" s="730"/>
    </row>
    <row r="159" spans="1:131" x14ac:dyDescent="0.2">
      <c r="A159" s="48"/>
      <c r="B159" s="48" t="s">
        <v>158</v>
      </c>
      <c r="C159" s="48"/>
      <c r="D159" s="62">
        <v>0</v>
      </c>
      <c r="E159" s="62">
        <f>0-D159</f>
        <v>0</v>
      </c>
      <c r="F159" s="62">
        <f>0-D159-E159</f>
        <v>0</v>
      </c>
      <c r="G159" s="62">
        <f t="shared" si="205"/>
        <v>-3.2949999999999999</v>
      </c>
      <c r="H159" s="178">
        <v>-3.2949999999999999</v>
      </c>
      <c r="I159" s="62">
        <v>-2.4510000000000001</v>
      </c>
      <c r="J159" s="62">
        <f>-4.902-I159</f>
        <v>-2.4510000000000001</v>
      </c>
      <c r="K159" s="62">
        <f>-7.353-I159-J159</f>
        <v>-2.4509999999999992</v>
      </c>
      <c r="L159" s="62">
        <f t="shared" si="206"/>
        <v>-2.4470000000000005</v>
      </c>
      <c r="M159" s="178">
        <v>-9.8000000000000007</v>
      </c>
      <c r="N159" s="62">
        <v>-2.4510000000000001</v>
      </c>
      <c r="O159" s="62">
        <f>-4.9-N159</f>
        <v>-2.4490000000000003</v>
      </c>
      <c r="P159" s="62">
        <f>-7.4-N159-O159</f>
        <v>-2.4999999999999996</v>
      </c>
      <c r="Q159" s="62">
        <f t="shared" si="207"/>
        <v>-2.4000000000000008</v>
      </c>
      <c r="R159" s="178">
        <v>-9.8000000000000007</v>
      </c>
      <c r="S159" s="62">
        <v>-2.5</v>
      </c>
      <c r="T159" s="62">
        <f>-4.9-S159</f>
        <v>-2.4000000000000004</v>
      </c>
      <c r="U159" s="62">
        <f>-7.3-S159-T159</f>
        <v>-2.3999999999999995</v>
      </c>
      <c r="V159" s="62">
        <f t="shared" si="208"/>
        <v>0</v>
      </c>
      <c r="W159" s="178">
        <v>-7.3</v>
      </c>
      <c r="X159" s="62">
        <v>0</v>
      </c>
      <c r="Y159" s="62">
        <f>0-X159</f>
        <v>0</v>
      </c>
      <c r="Z159" s="62">
        <f>0-X159-Y159</f>
        <v>0</v>
      </c>
      <c r="AA159" s="62">
        <f t="shared" si="209"/>
        <v>0</v>
      </c>
      <c r="AB159" s="178">
        <v>0</v>
      </c>
      <c r="AC159" s="62">
        <v>0</v>
      </c>
      <c r="AD159" s="62">
        <f>0-AC159</f>
        <v>0</v>
      </c>
      <c r="AE159" s="62">
        <f>0-AC159-AD159</f>
        <v>0</v>
      </c>
      <c r="AF159" s="62">
        <f t="shared" si="210"/>
        <v>0</v>
      </c>
      <c r="AG159" s="178">
        <v>0</v>
      </c>
      <c r="AH159" s="62">
        <v>0</v>
      </c>
      <c r="AI159" s="62">
        <f>0-AH159</f>
        <v>0</v>
      </c>
      <c r="AJ159" s="62">
        <f>0-AH159-AI159</f>
        <v>0</v>
      </c>
      <c r="AK159" s="62">
        <f ca="1">+AL159-AH159-AI159-AJ159</f>
        <v>0</v>
      </c>
      <c r="AL159" s="178">
        <f ca="1">+AH159+AI159+AJ159+AK159</f>
        <v>0</v>
      </c>
      <c r="AM159" s="62">
        <v>0</v>
      </c>
      <c r="AN159" s="62">
        <v>0</v>
      </c>
      <c r="AO159" s="62">
        <v>0</v>
      </c>
      <c r="AP159" s="62">
        <f ca="1">+AQ159-AM159-AN159-AO159</f>
        <v>0</v>
      </c>
      <c r="AQ159" s="178">
        <f ca="1">+AM159+AN159+AO159+AP159</f>
        <v>0</v>
      </c>
      <c r="AR159" s="62">
        <v>0</v>
      </c>
      <c r="AS159" s="62">
        <v>0</v>
      </c>
      <c r="AT159" s="179">
        <v>0</v>
      </c>
      <c r="AU159" s="62">
        <f t="shared" si="213"/>
        <v>0</v>
      </c>
      <c r="AV159" s="178">
        <v>0</v>
      </c>
      <c r="AW159" s="62">
        <v>0</v>
      </c>
      <c r="AX159" s="62">
        <v>0</v>
      </c>
      <c r="AY159" s="62">
        <v>0</v>
      </c>
      <c r="AZ159" s="62">
        <f t="shared" si="214"/>
        <v>0</v>
      </c>
      <c r="BA159" s="178">
        <v>0</v>
      </c>
      <c r="BB159" s="62">
        <v>0</v>
      </c>
      <c r="BC159" s="62">
        <v>0</v>
      </c>
      <c r="BD159" s="62">
        <v>0</v>
      </c>
      <c r="BE159" s="62">
        <f ca="1">+BF159-BB159-BC159-BD159</f>
        <v>0</v>
      </c>
      <c r="BF159" s="178">
        <f ca="1">+BB159+BC159+BD159+BE159</f>
        <v>0</v>
      </c>
      <c r="BG159" s="62">
        <v>0</v>
      </c>
      <c r="BH159" s="62">
        <v>0</v>
      </c>
      <c r="BI159" s="62">
        <v>0</v>
      </c>
      <c r="BJ159" s="62">
        <f ca="1">+BK159-BG159-BH159-BI159</f>
        <v>0</v>
      </c>
      <c r="BK159" s="178">
        <f ca="1">+BG159+BH159+BI159+BJ159</f>
        <v>0</v>
      </c>
      <c r="BL159" s="62">
        <v>0</v>
      </c>
      <c r="BM159" s="62">
        <v>0</v>
      </c>
      <c r="BN159" s="62">
        <v>0</v>
      </c>
      <c r="BO159" s="62">
        <f t="shared" si="217"/>
        <v>0</v>
      </c>
      <c r="BP159" s="178">
        <v>0</v>
      </c>
      <c r="BQ159" s="577">
        <v>0</v>
      </c>
      <c r="BR159" s="577">
        <v>0</v>
      </c>
      <c r="BS159" s="577">
        <v>0</v>
      </c>
      <c r="BT159" s="62">
        <f ca="1">+BU159-BQ159-BR159-BS159</f>
        <v>0</v>
      </c>
      <c r="BU159" s="178">
        <f ca="1">+BQ159+BR159+BS159+BT159</f>
        <v>0</v>
      </c>
      <c r="BV159" s="577">
        <v>0</v>
      </c>
      <c r="BW159" s="62">
        <v>0</v>
      </c>
      <c r="BX159" s="62">
        <v>0</v>
      </c>
      <c r="BY159" s="62">
        <f>+BZ159-BV159-BW159-BX159</f>
        <v>0</v>
      </c>
      <c r="BZ159" s="178">
        <v>0</v>
      </c>
      <c r="CA159" s="62">
        <v>0</v>
      </c>
      <c r="CB159" s="62">
        <v>0</v>
      </c>
      <c r="CC159" s="62">
        <v>0</v>
      </c>
      <c r="CD159" s="62">
        <v>0</v>
      </c>
      <c r="CE159" s="178">
        <f>+CA159+CB159+CC159+CD159</f>
        <v>0</v>
      </c>
      <c r="CF159" s="62">
        <v>0</v>
      </c>
      <c r="CG159" s="62">
        <v>0</v>
      </c>
      <c r="CH159" s="62">
        <v>0</v>
      </c>
      <c r="CI159" s="62">
        <v>0</v>
      </c>
      <c r="CJ159" s="178">
        <f>+CF159+CG159+CH159+CI159</f>
        <v>0</v>
      </c>
      <c r="CK159" s="62">
        <v>0</v>
      </c>
      <c r="CL159" s="62">
        <v>0</v>
      </c>
      <c r="CM159" s="62">
        <v>0</v>
      </c>
      <c r="CN159" s="62">
        <v>0</v>
      </c>
      <c r="CO159" s="178">
        <f>+CK159+CL159+CM159+CN159</f>
        <v>0</v>
      </c>
      <c r="CP159" s="62">
        <v>0</v>
      </c>
      <c r="CQ159" s="62">
        <v>0</v>
      </c>
      <c r="CR159" s="62">
        <v>0</v>
      </c>
      <c r="CS159" s="62">
        <v>0</v>
      </c>
      <c r="CT159" s="178">
        <f>+CP159+CQ159+CR159+CS159</f>
        <v>0</v>
      </c>
      <c r="CU159" s="62">
        <v>0</v>
      </c>
      <c r="CV159" s="62">
        <v>0</v>
      </c>
      <c r="CW159" s="62">
        <v>0</v>
      </c>
      <c r="CX159" s="62">
        <v>0</v>
      </c>
      <c r="CY159" s="178">
        <f>+CU159+CV159+CW159+CX159</f>
        <v>0</v>
      </c>
      <c r="CZ159" s="179"/>
      <c r="DA159" s="730"/>
      <c r="DB159" s="735"/>
      <c r="DC159" s="735"/>
      <c r="DD159" s="730"/>
      <c r="DF159" s="730"/>
      <c r="DG159" s="735"/>
      <c r="DH159" s="735"/>
      <c r="DI159" s="730"/>
      <c r="DJ159" s="730"/>
      <c r="DK159" s="730"/>
      <c r="DL159" s="730"/>
      <c r="DM159" s="730"/>
      <c r="DN159" s="730"/>
      <c r="DU159" s="48"/>
      <c r="DV159" s="48"/>
      <c r="DW159" s="730"/>
      <c r="DX159" s="730"/>
      <c r="DY159" s="730"/>
      <c r="DZ159" s="730"/>
      <c r="EA159" s="730"/>
    </row>
    <row r="160" spans="1:131" x14ac:dyDescent="0.2">
      <c r="A160" s="48"/>
      <c r="B160" s="48" t="s">
        <v>159</v>
      </c>
      <c r="C160" s="48"/>
      <c r="D160" s="219">
        <v>0</v>
      </c>
      <c r="E160" s="217">
        <f>0-D160</f>
        <v>0</v>
      </c>
      <c r="F160" s="217">
        <f>0-D160-E160</f>
        <v>0</v>
      </c>
      <c r="G160" s="219">
        <f t="shared" si="205"/>
        <v>0</v>
      </c>
      <c r="H160" s="218">
        <v>0</v>
      </c>
      <c r="I160" s="219">
        <v>0</v>
      </c>
      <c r="J160" s="217">
        <f>0-I160</f>
        <v>0</v>
      </c>
      <c r="K160" s="219">
        <f>0-I160-J160</f>
        <v>0</v>
      </c>
      <c r="L160" s="219">
        <f t="shared" si="206"/>
        <v>0</v>
      </c>
      <c r="M160" s="218">
        <v>0</v>
      </c>
      <c r="N160" s="219">
        <v>0</v>
      </c>
      <c r="O160" s="219">
        <f>0-N160</f>
        <v>0</v>
      </c>
      <c r="P160" s="219">
        <f>0-N160-O160</f>
        <v>0</v>
      </c>
      <c r="Q160" s="219">
        <f t="shared" si="207"/>
        <v>0</v>
      </c>
      <c r="R160" s="218">
        <v>0</v>
      </c>
      <c r="S160" s="219">
        <v>0</v>
      </c>
      <c r="T160" s="219">
        <f>0-S160</f>
        <v>0</v>
      </c>
      <c r="U160" s="219">
        <f>0-S160-T160</f>
        <v>0</v>
      </c>
      <c r="V160" s="219">
        <f t="shared" si="208"/>
        <v>0</v>
      </c>
      <c r="W160" s="218">
        <v>0</v>
      </c>
      <c r="X160" s="219">
        <v>0</v>
      </c>
      <c r="Y160" s="219">
        <f>0-X160</f>
        <v>0</v>
      </c>
      <c r="Z160" s="219">
        <f>0-X160-Y160</f>
        <v>0</v>
      </c>
      <c r="AA160" s="219">
        <f t="shared" si="209"/>
        <v>0</v>
      </c>
      <c r="AB160" s="218">
        <v>0</v>
      </c>
      <c r="AC160" s="219">
        <v>0</v>
      </c>
      <c r="AD160" s="219">
        <f>0-AC160</f>
        <v>0</v>
      </c>
      <c r="AE160" s="219">
        <f>0-AC160-AD160</f>
        <v>0</v>
      </c>
      <c r="AF160" s="219">
        <f t="shared" si="210"/>
        <v>0</v>
      </c>
      <c r="AG160" s="218">
        <v>0</v>
      </c>
      <c r="AH160" s="219">
        <v>0</v>
      </c>
      <c r="AI160" s="219">
        <f>0-AH160</f>
        <v>0</v>
      </c>
      <c r="AJ160" s="219">
        <f>0-AH160-AI160</f>
        <v>0</v>
      </c>
      <c r="AK160" s="219">
        <f ca="1">+AL160-AH160-AI160-AJ160</f>
        <v>0</v>
      </c>
      <c r="AL160" s="218">
        <f ca="1">-AL196*AL78</f>
        <v>0</v>
      </c>
      <c r="AM160" s="219">
        <v>0</v>
      </c>
      <c r="AN160" s="219">
        <v>0</v>
      </c>
      <c r="AO160" s="219">
        <v>0</v>
      </c>
      <c r="AP160" s="219">
        <f ca="1">+AQ160-AM160-AN160-AO160</f>
        <v>0</v>
      </c>
      <c r="AQ160" s="218">
        <f ca="1">-AQ196*AQ78</f>
        <v>0</v>
      </c>
      <c r="AR160" s="219">
        <v>0</v>
      </c>
      <c r="AS160" s="219">
        <v>0</v>
      </c>
      <c r="AT160" s="228">
        <v>0</v>
      </c>
      <c r="AU160" s="219">
        <f t="shared" si="213"/>
        <v>0</v>
      </c>
      <c r="AV160" s="218">
        <v>0</v>
      </c>
      <c r="AW160" s="219">
        <f ca="1">-AW196*AW78</f>
        <v>0</v>
      </c>
      <c r="AX160" s="219">
        <v>0</v>
      </c>
      <c r="AY160" s="219">
        <v>0</v>
      </c>
      <c r="AZ160" s="219">
        <f ca="1">+BA160-AW160-AX160-AY160</f>
        <v>0</v>
      </c>
      <c r="BA160" s="218">
        <v>0</v>
      </c>
      <c r="BB160" s="219">
        <v>0</v>
      </c>
      <c r="BC160" s="219">
        <v>0</v>
      </c>
      <c r="BD160" s="219">
        <v>0</v>
      </c>
      <c r="BE160" s="219">
        <f ca="1">+BF160-BB160-BC160-BD160</f>
        <v>0</v>
      </c>
      <c r="BF160" s="218">
        <f ca="1">-BF196*BF78</f>
        <v>0</v>
      </c>
      <c r="BG160" s="219">
        <v>0</v>
      </c>
      <c r="BH160" s="219">
        <v>0</v>
      </c>
      <c r="BI160" s="219">
        <f ca="1">-BI196*BI77</f>
        <v>0</v>
      </c>
      <c r="BJ160" s="219">
        <f ca="1">+BK160-BG160-BH160-BI160</f>
        <v>0</v>
      </c>
      <c r="BK160" s="218">
        <f ca="1">-BK196*BK77</f>
        <v>0</v>
      </c>
      <c r="BL160" s="219">
        <v>-59.8</v>
      </c>
      <c r="BM160" s="219">
        <f>-119.8-BL160</f>
        <v>-60</v>
      </c>
      <c r="BN160" s="219">
        <f>-180.4-BM160-BL160</f>
        <v>-60.600000000000009</v>
      </c>
      <c r="BO160" s="219">
        <f t="shared" si="217"/>
        <v>-61.2</v>
      </c>
      <c r="BP160" s="218">
        <v>-241.6</v>
      </c>
      <c r="BQ160" s="578">
        <v>-79.3</v>
      </c>
      <c r="BR160" s="578">
        <f>-158.8-BQ160</f>
        <v>-79.500000000000014</v>
      </c>
      <c r="BS160" s="578">
        <f>-238.3-BR160-BQ160</f>
        <v>-79.500000000000014</v>
      </c>
      <c r="BT160" s="219">
        <f t="shared" si="218"/>
        <v>-76.8</v>
      </c>
      <c r="BU160" s="218">
        <v>-315.10000000000002</v>
      </c>
      <c r="BV160" s="578">
        <v>-100.5</v>
      </c>
      <c r="BW160" s="578">
        <f>-201-BV160</f>
        <v>-100.5</v>
      </c>
      <c r="BX160" s="578">
        <f>-301.1-BW160-BV160</f>
        <v>-100.10000000000002</v>
      </c>
      <c r="BY160" s="219">
        <f t="shared" si="219"/>
        <v>-99</v>
      </c>
      <c r="BZ160" s="218">
        <v>-400.1</v>
      </c>
      <c r="CA160" s="221">
        <f>-CA196*CA77</f>
        <v>-139.63939899640914</v>
      </c>
      <c r="CB160" s="221">
        <f>-CB196*CB77</f>
        <v>-138.918865551398</v>
      </c>
      <c r="CC160" s="221">
        <f>-CC196*CC77</f>
        <v>-138.11153018544672</v>
      </c>
      <c r="CD160" s="221">
        <f>-CD196*CD77</f>
        <v>-137.4555606882976</v>
      </c>
      <c r="CE160" s="218">
        <f>+SUM(CA160:CD160)</f>
        <v>-554.12535542155149</v>
      </c>
      <c r="CF160" s="221">
        <f ca="1">-CF196*CF77</f>
        <v>-150.66319018918489</v>
      </c>
      <c r="CG160" s="221">
        <f ca="1">-CG196*CG77</f>
        <v>-149.39031712008159</v>
      </c>
      <c r="CH160" s="221">
        <f ca="1">-CH196*CH77</f>
        <v>-148.03113614409102</v>
      </c>
      <c r="CI160" s="221">
        <f ca="1">-CI196*CI77</f>
        <v>-146.84802166330334</v>
      </c>
      <c r="CJ160" s="218">
        <f ca="1">+SUM(CF160:CI160)</f>
        <v>-594.93266511666081</v>
      </c>
      <c r="CK160" s="221">
        <f ca="1">-CK196*CK77</f>
        <v>-161.53334115537419</v>
      </c>
      <c r="CL160" s="221">
        <f ca="1">-CL196*CL77</f>
        <v>-160.25944207870202</v>
      </c>
      <c r="CM160" s="221">
        <f ca="1">-CM196*CM77</f>
        <v>-158.88725967048592</v>
      </c>
      <c r="CN160" s="221">
        <f ca="1">-CN196*CN77</f>
        <v>-157.70750712464718</v>
      </c>
      <c r="CO160" s="218">
        <f ca="1">+SUM(CK160:CN160)</f>
        <v>-638.38755002920925</v>
      </c>
      <c r="CP160" s="221">
        <f ca="1">-CP196*CP77</f>
        <v>-172.90528450236368</v>
      </c>
      <c r="CQ160" s="221">
        <f ca="1">-CQ196*CQ77</f>
        <v>-171.63840167399434</v>
      </c>
      <c r="CR160" s="221">
        <f ca="1">-CR196*CR77</f>
        <v>-170.26034165745551</v>
      </c>
      <c r="CS160" s="221">
        <f ca="1">-CS196*CS77</f>
        <v>-169.09195676240438</v>
      </c>
      <c r="CT160" s="218">
        <f ca="1">+SUM(CP160:CS160)</f>
        <v>-683.89598459621789</v>
      </c>
      <c r="CU160" s="221">
        <f ca="1">-CU196*CU77</f>
        <v>-190.27880247568214</v>
      </c>
      <c r="CV160" s="221">
        <f ca="1">-CV196*CV77</f>
        <v>-188.98996759104577</v>
      </c>
      <c r="CW160" s="221">
        <f ca="1">-CW196*CW77</f>
        <v>-187.57243954697449</v>
      </c>
      <c r="CX160" s="221">
        <f ca="1">-CX196*CX77</f>
        <v>-186.38946016909927</v>
      </c>
      <c r="CY160" s="218">
        <f ca="1">+SUM(CU160:CX160)</f>
        <v>-753.23066978280167</v>
      </c>
      <c r="CZ160" s="222"/>
      <c r="DA160" s="730"/>
      <c r="DB160" s="735"/>
      <c r="DC160" s="836"/>
      <c r="DD160" s="730"/>
      <c r="DF160" s="730"/>
      <c r="DG160" s="735"/>
      <c r="DH160" s="735"/>
      <c r="DI160" s="730"/>
      <c r="DJ160" s="730"/>
      <c r="DK160" s="730"/>
      <c r="DL160" s="730"/>
      <c r="DM160" s="730"/>
      <c r="DN160" s="730"/>
      <c r="DU160" s="48"/>
      <c r="DV160" s="48"/>
      <c r="DW160" s="730"/>
      <c r="DX160" s="730"/>
      <c r="DY160" s="730"/>
      <c r="DZ160" s="730"/>
      <c r="EA160" s="730"/>
    </row>
    <row r="161" spans="1:131" s="492" customFormat="1" x14ac:dyDescent="0.2">
      <c r="A161" s="89" t="s">
        <v>160</v>
      </c>
      <c r="B161" s="89"/>
      <c r="C161" s="89"/>
      <c r="D161" s="84">
        <f t="shared" ref="D161:AI161" si="220">+SUM(D155:D160)</f>
        <v>1098.058</v>
      </c>
      <c r="E161" s="84">
        <f t="shared" si="220"/>
        <v>-77.408999999999963</v>
      </c>
      <c r="F161" s="84">
        <f t="shared" si="220"/>
        <v>-78.334999999999965</v>
      </c>
      <c r="G161" s="84">
        <f t="shared" si="220"/>
        <v>-197.15999999999988</v>
      </c>
      <c r="H161" s="85">
        <f t="shared" si="220"/>
        <v>745.15400000000011</v>
      </c>
      <c r="I161" s="84">
        <f t="shared" si="220"/>
        <v>52.051000000000009</v>
      </c>
      <c r="J161" s="84">
        <f t="shared" si="220"/>
        <v>-80.274999999999991</v>
      </c>
      <c r="K161" s="84">
        <f t="shared" si="220"/>
        <v>13.014999999999992</v>
      </c>
      <c r="L161" s="84">
        <f t="shared" si="220"/>
        <v>899.40899999999988</v>
      </c>
      <c r="M161" s="85">
        <f t="shared" si="220"/>
        <v>884.2</v>
      </c>
      <c r="N161" s="84">
        <f t="shared" si="220"/>
        <v>-166.96599999999998</v>
      </c>
      <c r="O161" s="84">
        <f t="shared" si="220"/>
        <v>-99.233999999999995</v>
      </c>
      <c r="P161" s="84">
        <f t="shared" si="220"/>
        <v>-31.300000000000022</v>
      </c>
      <c r="Q161" s="84">
        <f t="shared" si="220"/>
        <v>-128.70000000000002</v>
      </c>
      <c r="R161" s="85">
        <f t="shared" si="220"/>
        <v>-426.2</v>
      </c>
      <c r="S161" s="84">
        <f t="shared" si="220"/>
        <v>40.200000000000003</v>
      </c>
      <c r="T161" s="84">
        <f t="shared" si="220"/>
        <v>1034.9999999999998</v>
      </c>
      <c r="U161" s="84">
        <f t="shared" si="220"/>
        <v>-10.90000000000018</v>
      </c>
      <c r="V161" s="84">
        <f t="shared" si="220"/>
        <v>-139.09999999999982</v>
      </c>
      <c r="W161" s="85">
        <f t="shared" si="220"/>
        <v>925.2</v>
      </c>
      <c r="X161" s="84">
        <f t="shared" si="220"/>
        <v>303.7</v>
      </c>
      <c r="Y161" s="84">
        <f t="shared" si="220"/>
        <v>-236.00000000000003</v>
      </c>
      <c r="Z161" s="84">
        <f t="shared" si="220"/>
        <v>-51.8</v>
      </c>
      <c r="AA161" s="84">
        <f t="shared" si="220"/>
        <v>569.00000000000011</v>
      </c>
      <c r="AB161" s="85">
        <f t="shared" si="220"/>
        <v>584.90000000000009</v>
      </c>
      <c r="AC161" s="84">
        <f t="shared" si="220"/>
        <v>53.099999999999994</v>
      </c>
      <c r="AD161" s="84">
        <f t="shared" si="220"/>
        <v>-405.1</v>
      </c>
      <c r="AE161" s="84">
        <f t="shared" si="220"/>
        <v>24.800000000000033</v>
      </c>
      <c r="AF161" s="84">
        <f t="shared" si="220"/>
        <v>-320.20000000000005</v>
      </c>
      <c r="AG161" s="85">
        <f t="shared" si="220"/>
        <v>-647.40000000000009</v>
      </c>
      <c r="AH161" s="84">
        <f t="shared" si="220"/>
        <v>-166.3</v>
      </c>
      <c r="AI161" s="84">
        <f t="shared" si="220"/>
        <v>-151.79999999999998</v>
      </c>
      <c r="AJ161" s="84">
        <f t="shared" ref="AJ161:BN161" si="221">+SUM(AJ155:AJ160)</f>
        <v>-38.79999999999994</v>
      </c>
      <c r="AK161" s="84">
        <f ca="1">+SUM(AK155:AK160)</f>
        <v>-266.10000000000002</v>
      </c>
      <c r="AL161" s="85">
        <f ca="1">+SUM(AL155:AL160)</f>
        <v>-622.99999999999989</v>
      </c>
      <c r="AM161" s="84">
        <f t="shared" si="221"/>
        <v>-85.600000000000009</v>
      </c>
      <c r="AN161" s="84">
        <f t="shared" si="221"/>
        <v>-238.39999999999998</v>
      </c>
      <c r="AO161" s="84">
        <f t="shared" si="221"/>
        <v>-48.999999999999986</v>
      </c>
      <c r="AP161" s="84">
        <f ca="1">+SUM(AP155:AP160)</f>
        <v>-472.7</v>
      </c>
      <c r="AQ161" s="85">
        <f ca="1">+SUM(AQ155:AQ160)</f>
        <v>-845.69999999999993</v>
      </c>
      <c r="AR161" s="84">
        <f t="shared" si="221"/>
        <v>-204.60000000000002</v>
      </c>
      <c r="AS161" s="84">
        <f t="shared" si="221"/>
        <v>-239.69999999999993</v>
      </c>
      <c r="AT161" s="86">
        <f t="shared" si="221"/>
        <v>-30.700000000000074</v>
      </c>
      <c r="AU161" s="84">
        <f t="shared" si="221"/>
        <v>-100.09999999999994</v>
      </c>
      <c r="AV161" s="85">
        <f t="shared" si="221"/>
        <v>-575.09999999999991</v>
      </c>
      <c r="AW161" s="84">
        <f ca="1">+SUM(AW155:AW160)</f>
        <v>-97.699999999999932</v>
      </c>
      <c r="AX161" s="84">
        <f t="shared" si="221"/>
        <v>7.8000000000000114</v>
      </c>
      <c r="AY161" s="84">
        <f t="shared" si="221"/>
        <v>17.899999999999949</v>
      </c>
      <c r="AZ161" s="84">
        <f ca="1">+SUM(AZ155:AZ160)</f>
        <v>-26.700000000000102</v>
      </c>
      <c r="BA161" s="85">
        <f t="shared" si="221"/>
        <v>-98.700000000000074</v>
      </c>
      <c r="BB161" s="84">
        <f t="shared" si="221"/>
        <v>295.49999999999977</v>
      </c>
      <c r="BC161" s="84">
        <f t="shared" si="221"/>
        <v>3725.3</v>
      </c>
      <c r="BD161" s="84">
        <f t="shared" si="221"/>
        <v>-155.69999999999962</v>
      </c>
      <c r="BE161" s="84">
        <f ca="1">+SUM(BE155:BE160)</f>
        <v>-88.100000000000193</v>
      </c>
      <c r="BF161" s="85">
        <f ca="1">+SUM(BF155:BF160)</f>
        <v>3777.0000000000005</v>
      </c>
      <c r="BG161" s="87">
        <f t="shared" si="221"/>
        <v>213.1</v>
      </c>
      <c r="BH161" s="87">
        <f t="shared" si="221"/>
        <v>-538.09999999999991</v>
      </c>
      <c r="BI161" s="87">
        <f ca="1">+SUM(BI155:BI160)</f>
        <v>135.50000000000003</v>
      </c>
      <c r="BJ161" s="84">
        <f ca="1">+SUM(BJ155:BJ160)</f>
        <v>173.09999999999991</v>
      </c>
      <c r="BK161" s="85">
        <f ca="1">+SUM(BK155:BK160)</f>
        <v>-16.39999999999992</v>
      </c>
      <c r="BL161" s="87">
        <f>+SUM(BL155:BL160)</f>
        <v>-53.4</v>
      </c>
      <c r="BM161" s="87">
        <f>+SUM(BM155:BM160)</f>
        <v>82.700000000000045</v>
      </c>
      <c r="BN161" s="87">
        <f t="shared" si="221"/>
        <v>92.899999999999935</v>
      </c>
      <c r="BO161" s="84">
        <f>+SUM(BO155:BO160)</f>
        <v>653.79999999999995</v>
      </c>
      <c r="BP161" s="85">
        <f>+SUM(BP155:BP160)</f>
        <v>776.00000000000011</v>
      </c>
      <c r="BQ161" s="84">
        <f>+SUM(BQ155:BQ160)</f>
        <v>191.89999999999992</v>
      </c>
      <c r="BR161" s="87">
        <f t="shared" ref="BR161:BV161" si="222">+SUM(BR155:BR160)</f>
        <v>-488.89999999999992</v>
      </c>
      <c r="BS161" s="87">
        <f>+SUM(BS155:BS160)</f>
        <v>150.5999999999998</v>
      </c>
      <c r="BT161" s="84">
        <f ca="1">+SUM(BT155:BT160)</f>
        <v>11.599999999999824</v>
      </c>
      <c r="BU161" s="85">
        <f ca="1">+SUM(BU155:BU160)</f>
        <v>-134.80000000000015</v>
      </c>
      <c r="BV161" s="87">
        <f t="shared" si="222"/>
        <v>-141.60000000000008</v>
      </c>
      <c r="BW161" s="84">
        <f t="shared" ref="BW161:CY161" si="223">+SUM(BW155:BW160)</f>
        <v>-378.69999999999959</v>
      </c>
      <c r="BX161" s="84">
        <f t="shared" si="223"/>
        <v>62.199999999999108</v>
      </c>
      <c r="BY161" s="84">
        <f>+SUM(BY155:BY160)</f>
        <v>-143.09999999999974</v>
      </c>
      <c r="BZ161" s="85">
        <f t="shared" si="223"/>
        <v>-601.20000000000016</v>
      </c>
      <c r="CA161" s="84">
        <f t="shared" ca="1" si="223"/>
        <v>-333.35361838398717</v>
      </c>
      <c r="CB161" s="84">
        <f t="shared" ca="1" si="223"/>
        <v>-447.88259905854659</v>
      </c>
      <c r="CC161" s="84">
        <f t="shared" ca="1" si="223"/>
        <v>-293.57757113702502</v>
      </c>
      <c r="CD161" s="84">
        <f t="shared" ca="1" si="223"/>
        <v>-223.48688435029808</v>
      </c>
      <c r="CE161" s="85">
        <f t="shared" ca="1" si="223"/>
        <v>-1298.3006729298568</v>
      </c>
      <c r="CF161" s="84">
        <f t="shared" ca="1" si="223"/>
        <v>-491.7626854663402</v>
      </c>
      <c r="CG161" s="84">
        <f t="shared" ca="1" si="223"/>
        <v>-580.24889506540148</v>
      </c>
      <c r="CH161" s="84">
        <f t="shared" ca="1" si="223"/>
        <v>-399.39563004396797</v>
      </c>
      <c r="CI161" s="84">
        <f t="shared" ca="1" si="223"/>
        <v>-316.67560965142366</v>
      </c>
      <c r="CJ161" s="85">
        <f t="shared" ca="1" si="223"/>
        <v>-1788.0828202271332</v>
      </c>
      <c r="CK161" s="84">
        <f t="shared" ca="1" si="223"/>
        <v>-618.90582342451535</v>
      </c>
      <c r="CL161" s="84">
        <f t="shared" ca="1" si="223"/>
        <v>-739.33916937490574</v>
      </c>
      <c r="CM161" s="84">
        <f t="shared" ca="1" si="223"/>
        <v>-531.88173024004948</v>
      </c>
      <c r="CN161" s="84">
        <f t="shared" ca="1" si="223"/>
        <v>-439.54927095786275</v>
      </c>
      <c r="CO161" s="85">
        <f t="shared" ca="1" si="223"/>
        <v>-2329.6759939973335</v>
      </c>
      <c r="CP161" s="84">
        <f t="shared" ca="1" si="223"/>
        <v>-692.9247696212542</v>
      </c>
      <c r="CQ161" s="84">
        <f t="shared" ca="1" si="223"/>
        <v>-856.57980005282639</v>
      </c>
      <c r="CR161" s="84">
        <f t="shared" ca="1" si="223"/>
        <v>-631.1681319261761</v>
      </c>
      <c r="CS161" s="84">
        <f t="shared" ca="1" si="223"/>
        <v>-526.63332977430582</v>
      </c>
      <c r="CT161" s="85">
        <f t="shared" ca="1" si="223"/>
        <v>-2707.3060313745627</v>
      </c>
      <c r="CU161" s="84">
        <f t="shared" ca="1" si="223"/>
        <v>-731.62667832581974</v>
      </c>
      <c r="CV161" s="84">
        <f t="shared" ca="1" si="223"/>
        <v>-899.05725607816521</v>
      </c>
      <c r="CW161" s="84">
        <f t="shared" ca="1" si="223"/>
        <v>-666.65372111746308</v>
      </c>
      <c r="CX161" s="84">
        <f t="shared" ca="1" si="223"/>
        <v>-553.15787791108801</v>
      </c>
      <c r="CY161" s="85">
        <f t="shared" ca="1" si="223"/>
        <v>-2850.4955334325359</v>
      </c>
      <c r="CZ161" s="86"/>
      <c r="DA161" s="739"/>
      <c r="DB161" s="738"/>
      <c r="DC161" s="797"/>
      <c r="DD161" s="739"/>
      <c r="DE161" s="740"/>
      <c r="DF161" s="739"/>
      <c r="DG161" s="738"/>
      <c r="DH161" s="738"/>
      <c r="DI161" s="739"/>
      <c r="DJ161" s="739"/>
      <c r="DK161" s="739"/>
      <c r="DL161" s="739"/>
      <c r="DM161" s="739"/>
      <c r="DN161" s="739"/>
      <c r="DO161"/>
      <c r="DP161"/>
      <c r="DQ161"/>
      <c r="DR161"/>
      <c r="DS161"/>
      <c r="DT161"/>
      <c r="DU161" s="89"/>
      <c r="DV161" s="89"/>
      <c r="DW161" s="739"/>
      <c r="DX161" s="739"/>
      <c r="DY161" s="739"/>
      <c r="DZ161" s="739"/>
      <c r="EA161" s="739"/>
    </row>
    <row r="162" spans="1:131" x14ac:dyDescent="0.2">
      <c r="A162" s="48"/>
      <c r="B162" s="48"/>
      <c r="C162" s="48"/>
      <c r="D162" s="119"/>
      <c r="E162" s="62"/>
      <c r="F162" s="119"/>
      <c r="G162" s="119"/>
      <c r="H162" s="199"/>
      <c r="I162" s="119"/>
      <c r="J162" s="119"/>
      <c r="K162" s="119"/>
      <c r="L162" s="119"/>
      <c r="M162" s="141"/>
      <c r="N162" s="119"/>
      <c r="O162" s="119"/>
      <c r="P162" s="119"/>
      <c r="Q162" s="119"/>
      <c r="R162" s="141"/>
      <c r="S162" s="119"/>
      <c r="T162" s="119"/>
      <c r="U162" s="119"/>
      <c r="V162" s="119"/>
      <c r="W162" s="141"/>
      <c r="X162" s="119"/>
      <c r="Y162" s="119"/>
      <c r="Z162" s="119"/>
      <c r="AA162" s="119"/>
      <c r="AB162" s="141"/>
      <c r="AC162" s="119"/>
      <c r="AD162" s="119"/>
      <c r="AE162" s="119"/>
      <c r="AF162" s="119"/>
      <c r="AG162" s="141"/>
      <c r="AH162" s="119"/>
      <c r="AI162" s="119"/>
      <c r="AJ162" s="119"/>
      <c r="AK162" s="119"/>
      <c r="AL162" s="141"/>
      <c r="AM162" s="119"/>
      <c r="AN162" s="119"/>
      <c r="AO162" s="119"/>
      <c r="AP162" s="119"/>
      <c r="AQ162" s="141"/>
      <c r="AR162" s="119"/>
      <c r="AS162" s="119"/>
      <c r="AT162" s="142"/>
      <c r="AU162" s="119"/>
      <c r="AV162" s="141"/>
      <c r="AW162" s="119"/>
      <c r="AX162" s="119"/>
      <c r="AY162" s="119"/>
      <c r="AZ162" s="119"/>
      <c r="BA162" s="141"/>
      <c r="BB162" s="119"/>
      <c r="BC162" s="119"/>
      <c r="BD162" s="119"/>
      <c r="BE162" s="119"/>
      <c r="BF162" s="141"/>
      <c r="BG162" s="62"/>
      <c r="BH162" s="62"/>
      <c r="BI162" s="119"/>
      <c r="BJ162" s="119"/>
      <c r="BK162" s="141"/>
      <c r="BL162" s="62"/>
      <c r="BM162" s="119"/>
      <c r="BN162" s="62"/>
      <c r="BO162" s="119"/>
      <c r="BP162" s="141"/>
      <c r="BQ162" s="119"/>
      <c r="BR162" s="119"/>
      <c r="BS162" s="577"/>
      <c r="BT162" s="119"/>
      <c r="BU162" s="141"/>
      <c r="BV162" s="577"/>
      <c r="BW162" s="119"/>
      <c r="BX162" s="119"/>
      <c r="BY162" s="119"/>
      <c r="BZ162" s="141"/>
      <c r="CA162" s="119"/>
      <c r="CB162" s="119"/>
      <c r="CC162" s="119"/>
      <c r="CD162" s="119"/>
      <c r="CE162" s="141"/>
      <c r="CF162" s="119"/>
      <c r="CG162" s="119"/>
      <c r="CH162" s="119"/>
      <c r="CI162" s="119"/>
      <c r="CJ162" s="141"/>
      <c r="CK162" s="119"/>
      <c r="CL162" s="119"/>
      <c r="CM162" s="119"/>
      <c r="CN162" s="119"/>
      <c r="CO162" s="141"/>
      <c r="CP162" s="119"/>
      <c r="CQ162" s="119"/>
      <c r="CR162" s="119"/>
      <c r="CS162" s="119"/>
      <c r="CT162" s="141"/>
      <c r="CU162" s="119"/>
      <c r="CV162" s="119"/>
      <c r="CW162" s="119"/>
      <c r="CX162" s="119"/>
      <c r="CY162" s="141"/>
      <c r="CZ162" s="142"/>
      <c r="DA162" s="730"/>
      <c r="DB162" s="735"/>
      <c r="DC162" s="835"/>
      <c r="DD162" s="730"/>
      <c r="DF162" s="730"/>
      <c r="DG162" s="735"/>
      <c r="DH162" s="735"/>
      <c r="DI162" s="730"/>
      <c r="DJ162" s="730"/>
      <c r="DK162" s="730"/>
      <c r="DL162" s="730"/>
      <c r="DM162" s="838"/>
      <c r="DN162" s="838"/>
      <c r="DU162" s="48"/>
      <c r="DV162" s="48"/>
      <c r="DW162" s="730"/>
      <c r="DX162" s="730"/>
      <c r="DY162" s="730"/>
      <c r="DZ162" s="730"/>
      <c r="EA162" s="730"/>
    </row>
    <row r="163" spans="1:131" x14ac:dyDescent="0.2">
      <c r="A163" s="48" t="s">
        <v>161</v>
      </c>
      <c r="B163" s="48"/>
      <c r="C163" s="48"/>
      <c r="D163" s="62">
        <v>0</v>
      </c>
      <c r="E163" s="62">
        <f>0-D163</f>
        <v>0</v>
      </c>
      <c r="F163" s="62">
        <f>0-D163-E163</f>
        <v>0</v>
      </c>
      <c r="G163" s="62">
        <f>+H163-D163-E163-F163</f>
        <v>0</v>
      </c>
      <c r="H163" s="178">
        <v>0</v>
      </c>
      <c r="I163" s="62">
        <v>0</v>
      </c>
      <c r="J163" s="62">
        <f>0-I163</f>
        <v>0</v>
      </c>
      <c r="K163" s="62">
        <f>0-I163-J163</f>
        <v>0</v>
      </c>
      <c r="L163" s="62">
        <f>+M163-I163-J163-K163</f>
        <v>0</v>
      </c>
      <c r="M163" s="178">
        <v>0</v>
      </c>
      <c r="N163" s="62">
        <v>0</v>
      </c>
      <c r="O163" s="62">
        <f>0-N163</f>
        <v>0</v>
      </c>
      <c r="P163" s="62">
        <v>0</v>
      </c>
      <c r="Q163" s="62">
        <f>+R163-N163-O163-P163</f>
        <v>0</v>
      </c>
      <c r="R163" s="178">
        <v>0</v>
      </c>
      <c r="S163" s="62">
        <v>0</v>
      </c>
      <c r="T163" s="62">
        <f>0-S163</f>
        <v>0</v>
      </c>
      <c r="U163" s="62">
        <v>0</v>
      </c>
      <c r="V163" s="62">
        <f>+W163-S163-T163-U163</f>
        <v>0</v>
      </c>
      <c r="W163" s="178">
        <v>0</v>
      </c>
      <c r="X163" s="62">
        <v>0</v>
      </c>
      <c r="Y163" s="62">
        <f>0-X163</f>
        <v>0</v>
      </c>
      <c r="Z163" s="62">
        <v>0</v>
      </c>
      <c r="AA163" s="62">
        <f>+AB163-X163-Y163-Z163</f>
        <v>0</v>
      </c>
      <c r="AB163" s="178">
        <v>0</v>
      </c>
      <c r="AC163" s="62">
        <v>0</v>
      </c>
      <c r="AD163" s="62">
        <f>0-AC163</f>
        <v>0</v>
      </c>
      <c r="AE163" s="62">
        <f>0-AC163-AD163</f>
        <v>0</v>
      </c>
      <c r="AF163" s="62">
        <f>+AG163-AC163-AD163-AE163</f>
        <v>0</v>
      </c>
      <c r="AG163" s="178">
        <v>0</v>
      </c>
      <c r="AH163" s="62">
        <v>0</v>
      </c>
      <c r="AI163" s="62">
        <f>0-AH163</f>
        <v>0</v>
      </c>
      <c r="AJ163" s="62">
        <f>0-AH163-AI163</f>
        <v>0</v>
      </c>
      <c r="AK163" s="62">
        <f>+AL163-AH163-AI163-AJ163</f>
        <v>0</v>
      </c>
      <c r="AL163" s="178">
        <v>0</v>
      </c>
      <c r="AM163" s="62">
        <v>0</v>
      </c>
      <c r="AN163" s="62">
        <v>0</v>
      </c>
      <c r="AO163" s="62">
        <v>0</v>
      </c>
      <c r="AP163" s="62">
        <v>0</v>
      </c>
      <c r="AQ163" s="178">
        <f>SUM(AM163:AP163)</f>
        <v>0</v>
      </c>
      <c r="AR163" s="62">
        <v>0</v>
      </c>
      <c r="AS163" s="62">
        <v>0</v>
      </c>
      <c r="AT163" s="179">
        <v>0</v>
      </c>
      <c r="AU163" s="62">
        <v>0</v>
      </c>
      <c r="AV163" s="178">
        <v>0</v>
      </c>
      <c r="AW163" s="62">
        <v>0</v>
      </c>
      <c r="AX163" s="62">
        <v>0</v>
      </c>
      <c r="AY163" s="62">
        <v>0</v>
      </c>
      <c r="AZ163" s="62">
        <v>0</v>
      </c>
      <c r="BA163" s="178">
        <f>SUM(AW163:AZ163)</f>
        <v>0</v>
      </c>
      <c r="BB163" s="62">
        <v>0</v>
      </c>
      <c r="BC163" s="62">
        <v>0</v>
      </c>
      <c r="BD163" s="62">
        <v>0</v>
      </c>
      <c r="BE163" s="62">
        <v>0</v>
      </c>
      <c r="BF163" s="178">
        <f>SUM(BB163:BE163)</f>
        <v>0</v>
      </c>
      <c r="BG163" s="62">
        <v>0</v>
      </c>
      <c r="BH163" s="62">
        <v>0</v>
      </c>
      <c r="BI163" s="62">
        <v>0</v>
      </c>
      <c r="BJ163" s="62">
        <v>0</v>
      </c>
      <c r="BK163" s="178">
        <f>SUM(BG163:BJ163)</f>
        <v>0</v>
      </c>
      <c r="BL163" s="62">
        <v>0</v>
      </c>
      <c r="BM163" s="62">
        <v>0</v>
      </c>
      <c r="BN163" s="62">
        <v>0</v>
      </c>
      <c r="BO163" s="62">
        <v>0</v>
      </c>
      <c r="BP163" s="178">
        <f>SUM(BL163:BO163)</f>
        <v>0</v>
      </c>
      <c r="BQ163" s="62">
        <v>0</v>
      </c>
      <c r="BR163" s="62">
        <v>0</v>
      </c>
      <c r="BS163" s="577">
        <v>0</v>
      </c>
      <c r="BT163" s="62">
        <v>0</v>
      </c>
      <c r="BU163" s="178">
        <f>SUM(BQ163:BT163)</f>
        <v>0</v>
      </c>
      <c r="BV163" s="577">
        <v>0</v>
      </c>
      <c r="BW163" s="62">
        <v>0</v>
      </c>
      <c r="BX163" s="62">
        <v>0</v>
      </c>
      <c r="BY163" s="62">
        <v>0</v>
      </c>
      <c r="BZ163" s="178">
        <f>SUM(BV163:BY163)</f>
        <v>0</v>
      </c>
      <c r="CA163" s="62">
        <v>0</v>
      </c>
      <c r="CB163" s="62">
        <v>0</v>
      </c>
      <c r="CC163" s="62">
        <v>0</v>
      </c>
      <c r="CD163" s="62">
        <v>0</v>
      </c>
      <c r="CE163" s="178">
        <f>SUM(CA163:CD163)</f>
        <v>0</v>
      </c>
      <c r="CF163" s="62">
        <v>0</v>
      </c>
      <c r="CG163" s="62">
        <v>0</v>
      </c>
      <c r="CH163" s="62">
        <v>0</v>
      </c>
      <c r="CI163" s="62">
        <v>0</v>
      </c>
      <c r="CJ163" s="178">
        <f>SUM(CF163:CI163)</f>
        <v>0</v>
      </c>
      <c r="CK163" s="62">
        <v>0</v>
      </c>
      <c r="CL163" s="62">
        <v>0</v>
      </c>
      <c r="CM163" s="62">
        <v>0</v>
      </c>
      <c r="CN163" s="62">
        <v>0</v>
      </c>
      <c r="CO163" s="178">
        <f>SUM(CK163:CN163)</f>
        <v>0</v>
      </c>
      <c r="CP163" s="62">
        <v>0</v>
      </c>
      <c r="CQ163" s="62">
        <v>0</v>
      </c>
      <c r="CR163" s="62">
        <v>0</v>
      </c>
      <c r="CS163" s="62">
        <v>0</v>
      </c>
      <c r="CT163" s="178">
        <f>SUM(CP163:CS163)</f>
        <v>0</v>
      </c>
      <c r="CU163" s="62">
        <v>0</v>
      </c>
      <c r="CV163" s="62">
        <v>0</v>
      </c>
      <c r="CW163" s="62">
        <v>0</v>
      </c>
      <c r="CX163" s="62">
        <v>0</v>
      </c>
      <c r="CY163" s="178">
        <f>SUM(CU163:CX163)</f>
        <v>0</v>
      </c>
      <c r="CZ163" s="179"/>
      <c r="DA163" s="730"/>
      <c r="DB163" s="735"/>
      <c r="DC163" s="735"/>
      <c r="DD163" s="730"/>
      <c r="DF163" s="730"/>
      <c r="DG163" s="735"/>
      <c r="DH163" s="735"/>
      <c r="DI163" s="730"/>
      <c r="DJ163" s="730"/>
      <c r="DK163" s="730"/>
      <c r="DL163" s="730"/>
      <c r="DM163" s="730"/>
      <c r="DN163" s="730"/>
      <c r="DU163" s="48"/>
      <c r="DV163" s="48"/>
      <c r="DW163" s="730"/>
      <c r="DX163" s="730"/>
      <c r="DY163" s="730"/>
      <c r="DZ163" s="730"/>
      <c r="EA163" s="730"/>
    </row>
    <row r="164" spans="1:131" x14ac:dyDescent="0.2">
      <c r="A164" s="48" t="s">
        <v>162</v>
      </c>
      <c r="B164" s="48"/>
      <c r="C164" s="48"/>
      <c r="D164" s="62">
        <v>22.37</v>
      </c>
      <c r="E164" s="62">
        <f>30.252-D164</f>
        <v>7.8819999999999979</v>
      </c>
      <c r="F164" s="62">
        <f>29.116-D164-E164</f>
        <v>-1.1359999999999992</v>
      </c>
      <c r="G164" s="62">
        <f>+H164-D164-E164-F164</f>
        <v>67.23599999999999</v>
      </c>
      <c r="H164" s="178">
        <v>96.352000000000004</v>
      </c>
      <c r="I164" s="62">
        <v>-8.2799999999999994</v>
      </c>
      <c r="J164" s="62">
        <f>-2.069-I164</f>
        <v>6.2109999999999994</v>
      </c>
      <c r="K164" s="62">
        <f>-1.948-I164-J164</f>
        <v>0.12099999999999955</v>
      </c>
      <c r="L164" s="62">
        <f>+M164-I164-J164-K164</f>
        <v>0.4480000000000004</v>
      </c>
      <c r="M164" s="178">
        <v>-1.5</v>
      </c>
      <c r="N164" s="62">
        <v>-1.5449999999999999</v>
      </c>
      <c r="O164" s="62">
        <f>-0.8-N164</f>
        <v>0.74499999999999988</v>
      </c>
      <c r="P164" s="62">
        <f>-0.8-N164-O164</f>
        <v>0</v>
      </c>
      <c r="Q164" s="62">
        <f>+R164-N164-O164-P164</f>
        <v>-9.9999999999999978E-2</v>
      </c>
      <c r="R164" s="178">
        <v>-0.9</v>
      </c>
      <c r="S164" s="62">
        <v>0.4</v>
      </c>
      <c r="T164" s="62">
        <f>-17.4-S164</f>
        <v>-17.799999999999997</v>
      </c>
      <c r="U164" s="62">
        <f>-17.5-S164-T164</f>
        <v>-0.10000000000000142</v>
      </c>
      <c r="V164" s="62">
        <f>+W164-S164-T164-U164</f>
        <v>-1.1999999999999993</v>
      </c>
      <c r="W164" s="178">
        <v>-18.7</v>
      </c>
      <c r="X164" s="62">
        <v>-1.9</v>
      </c>
      <c r="Y164" s="62">
        <f>0.1-X164</f>
        <v>2</v>
      </c>
      <c r="Z164" s="62">
        <f>0.6-X164-Y164</f>
        <v>0.5</v>
      </c>
      <c r="AA164" s="62">
        <f>+AB164-X164-Y164-Z164</f>
        <v>-5.4</v>
      </c>
      <c r="AB164" s="178">
        <v>-4.8</v>
      </c>
      <c r="AC164" s="62">
        <v>0</v>
      </c>
      <c r="AD164" s="62">
        <f>0.1-AC164</f>
        <v>0.1</v>
      </c>
      <c r="AE164" s="62">
        <f>-0.2-AC164-AD164</f>
        <v>-0.30000000000000004</v>
      </c>
      <c r="AF164" s="62">
        <f>+AG164-AC164-AD164-AE164</f>
        <v>4.7</v>
      </c>
      <c r="AG164" s="178">
        <v>4.5</v>
      </c>
      <c r="AH164" s="62">
        <v>0.5</v>
      </c>
      <c r="AI164" s="62">
        <f>0.8-AH164</f>
        <v>0.30000000000000004</v>
      </c>
      <c r="AJ164" s="62">
        <f>1.5-AH164-AI164</f>
        <v>0.7</v>
      </c>
      <c r="AK164" s="62">
        <f>+AL164-AH164-AI164-AJ164</f>
        <v>-7.2</v>
      </c>
      <c r="AL164" s="178">
        <v>-5.7</v>
      </c>
      <c r="AM164" s="62">
        <v>-1.3</v>
      </c>
      <c r="AN164" s="62">
        <f>-0.4-AM164</f>
        <v>0.9</v>
      </c>
      <c r="AO164" s="62">
        <f>1.6-AM164-AN164</f>
        <v>2.0000000000000004</v>
      </c>
      <c r="AP164" s="62">
        <f>+AQ164-AM164-AN164-AO164</f>
        <v>2.399999999999999</v>
      </c>
      <c r="AQ164" s="178">
        <v>4</v>
      </c>
      <c r="AR164" s="62">
        <v>1.3</v>
      </c>
      <c r="AS164" s="62">
        <f>0.9-AR164</f>
        <v>-0.4</v>
      </c>
      <c r="AT164" s="179">
        <f>-0.5-AS164-AR164</f>
        <v>-1.4</v>
      </c>
      <c r="AU164" s="62">
        <f>+AV164-AR164-AS164-AT164</f>
        <v>3.2</v>
      </c>
      <c r="AV164" s="178">
        <v>2.7</v>
      </c>
      <c r="AW164" s="62">
        <v>-4.0999999999999996</v>
      </c>
      <c r="AX164" s="62">
        <f>-1.9-AW164</f>
        <v>2.1999999999999997</v>
      </c>
      <c r="AY164" s="62">
        <f>-2.1-AX164-AW164</f>
        <v>-0.20000000000000018</v>
      </c>
      <c r="AZ164" s="62">
        <f>+BA164-AW164-AX164-AY164</f>
        <v>-2.9999999999999996</v>
      </c>
      <c r="BA164" s="178">
        <v>-5.0999999999999996</v>
      </c>
      <c r="BB164" s="62">
        <v>-1</v>
      </c>
      <c r="BC164" s="62">
        <f>-5.1-BB164</f>
        <v>-4.0999999999999996</v>
      </c>
      <c r="BD164" s="62">
        <f>-3-BC164-BB164</f>
        <v>2.0999999999999996</v>
      </c>
      <c r="BE164" s="62">
        <f>+BF164-BB164-BC164-BD164</f>
        <v>-4</v>
      </c>
      <c r="BF164" s="178">
        <v>-7</v>
      </c>
      <c r="BG164" s="62">
        <v>5</v>
      </c>
      <c r="BH164" s="62">
        <f>3.5-BG164</f>
        <v>-1.5</v>
      </c>
      <c r="BI164" s="62">
        <f>2.5-BH164-BG164</f>
        <v>-1</v>
      </c>
      <c r="BJ164" s="62">
        <f>+BK164-BG164-BH164-BI164</f>
        <v>-5</v>
      </c>
      <c r="BK164" s="178">
        <v>-2.5</v>
      </c>
      <c r="BL164" s="62">
        <v>-0.4</v>
      </c>
      <c r="BM164" s="62">
        <f>-3.8-BL164</f>
        <v>-3.4</v>
      </c>
      <c r="BN164" s="62">
        <f>-4.9-BM164-BL164</f>
        <v>-1.1000000000000005</v>
      </c>
      <c r="BO164" s="62">
        <f>+BP164-BL164-BM164-BN164</f>
        <v>-4.3999999999999995</v>
      </c>
      <c r="BP164" s="178">
        <v>-9.3000000000000007</v>
      </c>
      <c r="BQ164" s="62">
        <v>0.3</v>
      </c>
      <c r="BR164" s="62">
        <f>-0.1-BQ164</f>
        <v>-0.4</v>
      </c>
      <c r="BS164" s="577">
        <f>-6-BR164-BQ164</f>
        <v>-5.8999999999999995</v>
      </c>
      <c r="BT164" s="62">
        <f>+BU164-BQ164-BR164-BS164</f>
        <v>0.90000000000000036</v>
      </c>
      <c r="BU164" s="178">
        <v>-5.0999999999999996</v>
      </c>
      <c r="BV164" s="577">
        <v>3</v>
      </c>
      <c r="BW164" s="62">
        <f>6.2-BV164</f>
        <v>3.2</v>
      </c>
      <c r="BX164" s="62">
        <f>5.1-BW164-BV164</f>
        <v>-1.1000000000000005</v>
      </c>
      <c r="BY164" s="62">
        <f>+BZ164-BV164-BW164-BX164</f>
        <v>0.70000000000000018</v>
      </c>
      <c r="BZ164" s="178">
        <v>5.8</v>
      </c>
      <c r="CA164" s="62">
        <v>0</v>
      </c>
      <c r="CB164" s="62">
        <v>0</v>
      </c>
      <c r="CC164" s="62">
        <v>0</v>
      </c>
      <c r="CD164" s="62">
        <v>0</v>
      </c>
      <c r="CE164" s="178">
        <f>SUM(CA164:CD164)</f>
        <v>0</v>
      </c>
      <c r="CF164" s="62">
        <v>0</v>
      </c>
      <c r="CG164" s="62">
        <v>0</v>
      </c>
      <c r="CH164" s="62">
        <v>0</v>
      </c>
      <c r="CI164" s="62">
        <v>0</v>
      </c>
      <c r="CJ164" s="178">
        <f>SUM(CF164:CI164)</f>
        <v>0</v>
      </c>
      <c r="CK164" s="62">
        <v>0</v>
      </c>
      <c r="CL164" s="62">
        <v>0</v>
      </c>
      <c r="CM164" s="62">
        <v>0</v>
      </c>
      <c r="CN164" s="62">
        <v>0</v>
      </c>
      <c r="CO164" s="178">
        <f>SUM(CK164:CN164)</f>
        <v>0</v>
      </c>
      <c r="CP164" s="62">
        <v>0</v>
      </c>
      <c r="CQ164" s="62">
        <v>0</v>
      </c>
      <c r="CR164" s="62">
        <v>0</v>
      </c>
      <c r="CS164" s="62">
        <v>0</v>
      </c>
      <c r="CT164" s="178">
        <f>SUM(CP164:CS164)</f>
        <v>0</v>
      </c>
      <c r="CU164" s="62">
        <v>0</v>
      </c>
      <c r="CV164" s="62">
        <v>0</v>
      </c>
      <c r="CW164" s="62">
        <v>0</v>
      </c>
      <c r="CX164" s="62">
        <v>0</v>
      </c>
      <c r="CY164" s="178">
        <f>SUM(CU164:CX164)</f>
        <v>0</v>
      </c>
      <c r="CZ164" s="179"/>
      <c r="DA164" s="730"/>
      <c r="DB164" s="735"/>
      <c r="DC164" s="735"/>
      <c r="DD164" s="730"/>
      <c r="DF164" s="730"/>
      <c r="DG164" s="735"/>
      <c r="DH164" s="735"/>
      <c r="DI164" s="730"/>
      <c r="DJ164" s="730"/>
      <c r="DK164" s="730"/>
      <c r="DL164" s="730"/>
      <c r="DM164" s="730"/>
      <c r="DN164" s="730"/>
      <c r="DU164" s="48"/>
      <c r="DV164" s="48"/>
      <c r="DW164" s="730"/>
      <c r="DX164" s="730"/>
      <c r="DY164" s="730"/>
      <c r="DZ164" s="730"/>
      <c r="EA164" s="730"/>
    </row>
    <row r="165" spans="1:131" x14ac:dyDescent="0.2">
      <c r="A165" s="48" t="s">
        <v>163</v>
      </c>
      <c r="B165" s="48"/>
      <c r="C165" s="48"/>
      <c r="D165" s="119">
        <f t="shared" ref="D165:AI165" si="224">D145+D152+D161+D164+D163</f>
        <v>32.197999999999979</v>
      </c>
      <c r="E165" s="119">
        <f t="shared" si="224"/>
        <v>1.4570000000000576</v>
      </c>
      <c r="F165" s="119">
        <f t="shared" si="224"/>
        <v>-9.0900000000001064</v>
      </c>
      <c r="G165" s="119">
        <f t="shared" si="224"/>
        <v>-1.2389999999998338</v>
      </c>
      <c r="H165" s="141">
        <f t="shared" si="224"/>
        <v>23.32600000000005</v>
      </c>
      <c r="I165" s="119">
        <f t="shared" si="224"/>
        <v>-25.692999999999991</v>
      </c>
      <c r="J165" s="119">
        <f t="shared" si="224"/>
        <v>-1.6749999999999821</v>
      </c>
      <c r="K165" s="119">
        <f t="shared" si="224"/>
        <v>2.9859999999999856</v>
      </c>
      <c r="L165" s="119">
        <f t="shared" si="224"/>
        <v>4.8819999999997421</v>
      </c>
      <c r="M165" s="141">
        <f t="shared" si="224"/>
        <v>-19.5</v>
      </c>
      <c r="N165" s="119">
        <f t="shared" si="224"/>
        <v>1.5490000000000226</v>
      </c>
      <c r="O165" s="119">
        <f t="shared" si="224"/>
        <v>-0.54899999999999705</v>
      </c>
      <c r="P165" s="119">
        <f t="shared" si="224"/>
        <v>7.8000000000000007</v>
      </c>
      <c r="Q165" s="119">
        <f t="shared" si="224"/>
        <v>-15.500000000000062</v>
      </c>
      <c r="R165" s="141">
        <f t="shared" si="224"/>
        <v>-6.7000000000000117</v>
      </c>
      <c r="S165" s="119">
        <f t="shared" si="224"/>
        <v>26.6</v>
      </c>
      <c r="T165" s="119">
        <f t="shared" si="224"/>
        <v>4.6999999999997755</v>
      </c>
      <c r="U165" s="119">
        <f t="shared" si="224"/>
        <v>-7.5000000000002842</v>
      </c>
      <c r="V165" s="119">
        <f t="shared" si="224"/>
        <v>-1.1999999999998572</v>
      </c>
      <c r="W165" s="141">
        <f t="shared" si="224"/>
        <v>22.600000000000183</v>
      </c>
      <c r="X165" s="119">
        <f t="shared" si="224"/>
        <v>3.4194869158454821E-14</v>
      </c>
      <c r="Y165" s="119">
        <f t="shared" si="224"/>
        <v>-0.30000000000009663</v>
      </c>
      <c r="Z165" s="119">
        <f t="shared" si="224"/>
        <v>-8.2999999999999474</v>
      </c>
      <c r="AA165" s="119">
        <f t="shared" si="224"/>
        <v>-4.4000000000000004</v>
      </c>
      <c r="AB165" s="141">
        <f t="shared" si="224"/>
        <v>-12.999999999999819</v>
      </c>
      <c r="AC165" s="119">
        <f t="shared" si="224"/>
        <v>4.6999999999999886</v>
      </c>
      <c r="AD165" s="119">
        <f t="shared" si="224"/>
        <v>-0.30000000000003413</v>
      </c>
      <c r="AE165" s="119">
        <f t="shared" si="224"/>
        <v>156.4</v>
      </c>
      <c r="AF165" s="119">
        <f t="shared" si="224"/>
        <v>-168.2</v>
      </c>
      <c r="AG165" s="141">
        <f t="shared" si="224"/>
        <v>-7.4000000000000909</v>
      </c>
      <c r="AH165" s="119">
        <f t="shared" si="224"/>
        <v>3.6999999999999886</v>
      </c>
      <c r="AI165" s="119">
        <f t="shared" si="224"/>
        <v>2.9000000000000226</v>
      </c>
      <c r="AJ165" s="119">
        <f t="shared" ref="AJ165:BO165" si="225">AJ145+AJ152+AJ161+AJ164+AJ163</f>
        <v>30.600000000000062</v>
      </c>
      <c r="AK165" s="119">
        <f ca="1">AK145+AK152+AK161+AK164+AK163</f>
        <v>-6.7999999999999661</v>
      </c>
      <c r="AL165" s="141">
        <f ca="1">AL145+AL152+AL161+AL164+AL163</f>
        <v>30.400000000000137</v>
      </c>
      <c r="AM165" s="119">
        <f t="shared" si="225"/>
        <v>-22.600000000000012</v>
      </c>
      <c r="AN165" s="119">
        <f t="shared" si="225"/>
        <v>-6.9999999999999769</v>
      </c>
      <c r="AO165" s="119">
        <f t="shared" si="225"/>
        <v>2.1000000000000303</v>
      </c>
      <c r="AP165" s="119">
        <f ca="1">AP145+AP152+AP161+AP164+AP163</f>
        <v>-6.8000000000001037</v>
      </c>
      <c r="AQ165" s="141">
        <f ca="1">AQ145+AQ152+AQ161+AQ164+AQ163</f>
        <v>-34.299999999999955</v>
      </c>
      <c r="AR165" s="119">
        <f t="shared" si="225"/>
        <v>4.1999999999999771</v>
      </c>
      <c r="AS165" s="119">
        <f t="shared" si="225"/>
        <v>-3.3999999999999715</v>
      </c>
      <c r="AT165" s="142">
        <f t="shared" si="225"/>
        <v>45.799999999999905</v>
      </c>
      <c r="AU165" s="119">
        <f t="shared" si="225"/>
        <v>30.000000000000068</v>
      </c>
      <c r="AV165" s="141">
        <f t="shared" si="225"/>
        <v>76.600000000000094</v>
      </c>
      <c r="AW165" s="119">
        <f ca="1">AW145+AW152+AW161+AW164+AW163</f>
        <v>-16.499999999999922</v>
      </c>
      <c r="AX165" s="119">
        <f t="shared" si="225"/>
        <v>109.20000000000006</v>
      </c>
      <c r="AY165" s="119">
        <f t="shared" si="225"/>
        <v>21.999999999999897</v>
      </c>
      <c r="AZ165" s="119">
        <f ca="1">AZ145+AZ152+AZ161+AZ164+AZ163</f>
        <v>130.99999999999989</v>
      </c>
      <c r="BA165" s="141">
        <f t="shared" si="225"/>
        <v>245.69999999999987</v>
      </c>
      <c r="BB165" s="119">
        <f t="shared" si="225"/>
        <v>277.79999999999978</v>
      </c>
      <c r="BC165" s="119">
        <f t="shared" si="225"/>
        <v>-492.49999999999966</v>
      </c>
      <c r="BD165" s="119">
        <f t="shared" si="225"/>
        <v>-51.599999999999959</v>
      </c>
      <c r="BE165" s="119">
        <f ca="1">BE145+BE152+BE161+BE164+BE163</f>
        <v>-1.3000000000003098</v>
      </c>
      <c r="BF165" s="141">
        <f ca="1">BF145+BF152+BF161+BF164+BF163</f>
        <v>-267.59999999999991</v>
      </c>
      <c r="BG165" s="119">
        <f t="shared" si="225"/>
        <v>314</v>
      </c>
      <c r="BH165" s="62">
        <f t="shared" si="225"/>
        <v>-273.59999999999985</v>
      </c>
      <c r="BI165" s="119">
        <f ca="1">BI145+BI152+BI161+BI164+BI163</f>
        <v>-36.999999999999972</v>
      </c>
      <c r="BJ165" s="119">
        <f ca="1">BJ145+BJ152+BJ161+BJ164+BJ163</f>
        <v>42.799999999999727</v>
      </c>
      <c r="BK165" s="141">
        <f ca="1">BK145+BK152+BK161+BK164+BK163</f>
        <v>46.199999999999989</v>
      </c>
      <c r="BL165" s="62">
        <f>BL145+BL152+BL161+BL164+BL163</f>
        <v>20.600000000000009</v>
      </c>
      <c r="BM165" s="119">
        <f t="shared" si="225"/>
        <v>199.00000000000014</v>
      </c>
      <c r="BN165" s="119">
        <f t="shared" si="225"/>
        <v>161.59999999999982</v>
      </c>
      <c r="BO165" s="119">
        <f t="shared" si="225"/>
        <v>-408.19999999999993</v>
      </c>
      <c r="BP165" s="141">
        <f>BP145+BP152+BP161+BP164+BP163</f>
        <v>-26.999999999999478</v>
      </c>
      <c r="BQ165" s="119">
        <f t="shared" ref="BQ165:BX165" si="226">BQ145+BQ152+BQ161+BQ164+BQ163</f>
        <v>83.79999999999994</v>
      </c>
      <c r="BR165" s="119">
        <f t="shared" si="226"/>
        <v>10.400000000000182</v>
      </c>
      <c r="BS165" s="577">
        <f t="shared" si="226"/>
        <v>19.999999999999694</v>
      </c>
      <c r="BT165" s="119">
        <f ca="1">BT145+BT152+BT161+BT164+BT163</f>
        <v>-19.900000000000269</v>
      </c>
      <c r="BU165" s="141">
        <f ca="1">BU145+BU152+BU161+BU164+BU163</f>
        <v>94.29999999999967</v>
      </c>
      <c r="BV165" s="577">
        <f t="shared" si="226"/>
        <v>21.69999999999996</v>
      </c>
      <c r="BW165" s="119">
        <f t="shared" si="226"/>
        <v>-73.499999999999531</v>
      </c>
      <c r="BX165" s="119">
        <f t="shared" si="226"/>
        <v>28.899999999999061</v>
      </c>
      <c r="BY165" s="119">
        <f t="shared" ref="BY165:CY165" ca="1" si="227">BY145+BY152+BY161+BY164+BY163</f>
        <v>-64.199999999999463</v>
      </c>
      <c r="BZ165" s="141">
        <f t="shared" ca="1" si="227"/>
        <v>-87.09999999999998</v>
      </c>
      <c r="CA165" s="119">
        <f t="shared" ca="1" si="227"/>
        <v>-4.0927261579781771E-12</v>
      </c>
      <c r="CB165" s="119">
        <f t="shared" ca="1" si="227"/>
        <v>-5.6843418860808015E-14</v>
      </c>
      <c r="CC165" s="119">
        <f t="shared" ca="1" si="227"/>
        <v>-6.2527760746888816E-13</v>
      </c>
      <c r="CD165" s="119">
        <f t="shared" ca="1" si="227"/>
        <v>1.8474111129762605E-12</v>
      </c>
      <c r="CE165" s="141">
        <f t="shared" ca="1" si="227"/>
        <v>-4.0927261579781771E-12</v>
      </c>
      <c r="CF165" s="119">
        <f t="shared" ca="1" si="227"/>
        <v>-1.5916157281026244E-12</v>
      </c>
      <c r="CG165" s="119">
        <f t="shared" ca="1" si="227"/>
        <v>1.3642420526593924E-12</v>
      </c>
      <c r="CH165" s="119">
        <f t="shared" ca="1" si="227"/>
        <v>-1.0231815394945443E-12</v>
      </c>
      <c r="CI165" s="119">
        <f t="shared" ca="1" si="227"/>
        <v>-1.4779288903810084E-12</v>
      </c>
      <c r="CJ165" s="141">
        <f t="shared" ca="1" si="227"/>
        <v>-2.2737367544323206E-12</v>
      </c>
      <c r="CK165" s="119">
        <f t="shared" ca="1" si="227"/>
        <v>5.6843418860808015E-12</v>
      </c>
      <c r="CL165" s="119">
        <f t="shared" ca="1" si="227"/>
        <v>5.6843418860808015E-13</v>
      </c>
      <c r="CM165" s="119">
        <f t="shared" ca="1" si="227"/>
        <v>-3.865352482534945E-12</v>
      </c>
      <c r="CN165" s="119">
        <f t="shared" ca="1" si="227"/>
        <v>5.9685589803848416E-12</v>
      </c>
      <c r="CO165" s="141">
        <f t="shared" ca="1" si="227"/>
        <v>8.1854523159563541E-12</v>
      </c>
      <c r="CP165" s="119">
        <f t="shared" ca="1" si="227"/>
        <v>-7.9580786405131221E-12</v>
      </c>
      <c r="CQ165" s="119">
        <f t="shared" ca="1" si="227"/>
        <v>3.637978807091713E-12</v>
      </c>
      <c r="CR165" s="119">
        <f t="shared" ca="1" si="227"/>
        <v>-1.8189894035458565E-12</v>
      </c>
      <c r="CS165" s="119">
        <f t="shared" ca="1" si="227"/>
        <v>6.3664629124104977E-12</v>
      </c>
      <c r="CT165" s="141">
        <f t="shared" ca="1" si="227"/>
        <v>2.7284841053187847E-12</v>
      </c>
      <c r="CU165" s="119">
        <f t="shared" ca="1" si="227"/>
        <v>-4.3200998334214091E-12</v>
      </c>
      <c r="CV165" s="119">
        <f t="shared" ca="1" si="227"/>
        <v>4.7748471843078732E-12</v>
      </c>
      <c r="CW165" s="119">
        <f t="shared" ca="1" si="227"/>
        <v>-3.751665644813329E-12</v>
      </c>
      <c r="CX165" s="119">
        <f t="shared" ca="1" si="227"/>
        <v>1.3642420526593924E-12</v>
      </c>
      <c r="CY165" s="141">
        <f t="shared" ca="1" si="227"/>
        <v>-3.1832314562052488E-12</v>
      </c>
      <c r="CZ165" s="142"/>
      <c r="DA165" s="730"/>
      <c r="DB165" s="735"/>
      <c r="DC165" s="835"/>
      <c r="DD165" s="730"/>
      <c r="DF165" s="730"/>
      <c r="DG165" s="735"/>
      <c r="DH165" s="735"/>
      <c r="DI165" s="730"/>
      <c r="DJ165" s="730"/>
      <c r="DK165" s="730"/>
      <c r="DL165" s="839"/>
      <c r="DM165" s="747"/>
      <c r="DN165" s="743"/>
      <c r="DU165" s="48"/>
      <c r="DV165" s="48"/>
      <c r="DW165" s="730"/>
      <c r="DX165" s="730"/>
      <c r="DY165" s="730"/>
      <c r="DZ165" s="730"/>
      <c r="EA165" s="730"/>
    </row>
    <row r="166" spans="1:131" x14ac:dyDescent="0.2">
      <c r="A166" s="48" t="s">
        <v>164</v>
      </c>
      <c r="B166" s="48"/>
      <c r="C166" s="48"/>
      <c r="D166" s="217">
        <v>13.81</v>
      </c>
      <c r="E166" s="217">
        <f>+D167</f>
        <v>46.007999999999981</v>
      </c>
      <c r="F166" s="217">
        <f>+E167</f>
        <v>47.465000000000039</v>
      </c>
      <c r="G166" s="217">
        <f>+F167</f>
        <v>38.374999999999929</v>
      </c>
      <c r="H166" s="218">
        <v>13.81</v>
      </c>
      <c r="I166" s="217">
        <f>+H167</f>
        <v>37.136000000000053</v>
      </c>
      <c r="J166" s="217">
        <f>+I167</f>
        <v>11.443000000000062</v>
      </c>
      <c r="K166" s="217">
        <f>+J167</f>
        <v>9.7680000000000788</v>
      </c>
      <c r="L166" s="217">
        <f>+K167</f>
        <v>12.754000000000065</v>
      </c>
      <c r="M166" s="218">
        <v>37.1</v>
      </c>
      <c r="N166" s="217">
        <f>+M167</f>
        <v>17.600000000000001</v>
      </c>
      <c r="O166" s="217">
        <f>+N167</f>
        <v>19.149000000000022</v>
      </c>
      <c r="P166" s="217">
        <f>+O167</f>
        <v>18.600000000000026</v>
      </c>
      <c r="Q166" s="217">
        <f>+P167</f>
        <v>26.400000000000027</v>
      </c>
      <c r="R166" s="218">
        <f>M167</f>
        <v>17.600000000000001</v>
      </c>
      <c r="S166" s="217">
        <f>+R167</f>
        <v>10.89999999999999</v>
      </c>
      <c r="T166" s="217">
        <f>+S167</f>
        <v>37.499999999999993</v>
      </c>
      <c r="U166" s="217">
        <f>+T167</f>
        <v>42.199999999999768</v>
      </c>
      <c r="V166" s="217">
        <f>+U167</f>
        <v>34.699999999999484</v>
      </c>
      <c r="W166" s="218">
        <v>10.9</v>
      </c>
      <c r="X166" s="217">
        <f>+W167</f>
        <v>33.500000000000185</v>
      </c>
      <c r="Y166" s="217">
        <f>+X167</f>
        <v>33.50000000000022</v>
      </c>
      <c r="Z166" s="217">
        <f>+Y167</f>
        <v>33.200000000000124</v>
      </c>
      <c r="AA166" s="217">
        <f>+Z167</f>
        <v>24.900000000000176</v>
      </c>
      <c r="AB166" s="218">
        <f>+W167</f>
        <v>33.500000000000185</v>
      </c>
      <c r="AC166" s="217">
        <f>+AB167</f>
        <v>20.500000000000366</v>
      </c>
      <c r="AD166" s="217">
        <f>+AC167</f>
        <v>25.200000000000355</v>
      </c>
      <c r="AE166" s="217">
        <f>+AD167</f>
        <v>24.900000000000322</v>
      </c>
      <c r="AF166" s="217">
        <f>+AE167</f>
        <v>181.30000000000032</v>
      </c>
      <c r="AG166" s="218">
        <v>20.5</v>
      </c>
      <c r="AH166" s="217">
        <f>+AG167</f>
        <v>13.099999999999909</v>
      </c>
      <c r="AI166" s="217">
        <f>+AH167</f>
        <v>16.799999999999898</v>
      </c>
      <c r="AJ166" s="217">
        <f>+AI167</f>
        <v>19.699999999999921</v>
      </c>
      <c r="AK166" s="217">
        <f>+AJ167</f>
        <v>50.299999999999983</v>
      </c>
      <c r="AL166" s="218">
        <f>+AG167</f>
        <v>13.099999999999909</v>
      </c>
      <c r="AM166" s="217">
        <f ca="1">+AL167</f>
        <v>43.500000000000043</v>
      </c>
      <c r="AN166" s="217">
        <f ca="1">+AM167</f>
        <v>20.900000000000031</v>
      </c>
      <c r="AO166" s="217">
        <f ca="1">+AN167</f>
        <v>13.900000000000054</v>
      </c>
      <c r="AP166" s="217">
        <f ca="1">+AO167</f>
        <v>16.000000000000085</v>
      </c>
      <c r="AQ166" s="218">
        <f ca="1">+AL167</f>
        <v>43.500000000000043</v>
      </c>
      <c r="AR166" s="217">
        <f ca="1">+AQ167</f>
        <v>9.2000000000000881</v>
      </c>
      <c r="AS166" s="217">
        <f ca="1">+AR167</f>
        <v>13.400000000000066</v>
      </c>
      <c r="AT166" s="220">
        <f ca="1">+AS167</f>
        <v>10.000000000000094</v>
      </c>
      <c r="AU166" s="217">
        <f ca="1">+AT167</f>
        <v>55.8</v>
      </c>
      <c r="AV166" s="218">
        <f ca="1">+AQ167</f>
        <v>9.2000000000000881</v>
      </c>
      <c r="AW166" s="217">
        <f ca="1">+AV167</f>
        <v>85.800000000000182</v>
      </c>
      <c r="AX166" s="217">
        <f ca="1">+AW167</f>
        <v>69.300000000000267</v>
      </c>
      <c r="AY166" s="217">
        <f ca="1">+AX167</f>
        <v>178.50000000000034</v>
      </c>
      <c r="AZ166" s="217">
        <f ca="1">+AY167</f>
        <v>200.50000000000023</v>
      </c>
      <c r="BA166" s="218">
        <f ca="1">+AV167</f>
        <v>85.800000000000182</v>
      </c>
      <c r="BB166" s="217">
        <f ca="1">+BA167</f>
        <v>331.50000000000006</v>
      </c>
      <c r="BC166" s="217">
        <f ca="1">+BB167</f>
        <v>609.29999999999984</v>
      </c>
      <c r="BD166" s="217">
        <f ca="1">+BC167</f>
        <v>116.80000000000018</v>
      </c>
      <c r="BE166" s="217">
        <f ca="1">+BD167</f>
        <v>65.200000000000216</v>
      </c>
      <c r="BF166" s="218">
        <f ca="1">+BA167</f>
        <v>331.50000000000006</v>
      </c>
      <c r="BG166" s="217">
        <f ca="1">+BF167</f>
        <v>63.900000000000148</v>
      </c>
      <c r="BH166" s="217">
        <f ca="1">+BG167</f>
        <v>377.90000000000015</v>
      </c>
      <c r="BI166" s="217">
        <f ca="1">+BH167</f>
        <v>104.3000000000003</v>
      </c>
      <c r="BJ166" s="217">
        <f ca="1">+BI167</f>
        <v>67.300000000000324</v>
      </c>
      <c r="BK166" s="218">
        <f ca="1">+BF167</f>
        <v>63.900000000000148</v>
      </c>
      <c r="BL166" s="219">
        <f ca="1">+BK167</f>
        <v>110.10000000000014</v>
      </c>
      <c r="BM166" s="217">
        <f ca="1">+BL167</f>
        <v>130.70000000000016</v>
      </c>
      <c r="BN166" s="217">
        <f ca="1">+BM167</f>
        <v>329.70000000000027</v>
      </c>
      <c r="BO166" s="217">
        <f ca="1">+BN167</f>
        <v>491.30000000000007</v>
      </c>
      <c r="BP166" s="218">
        <f ca="1">+BK167</f>
        <v>110.10000000000014</v>
      </c>
      <c r="BQ166" s="217">
        <f ca="1">+BP167</f>
        <v>83.100000000000662</v>
      </c>
      <c r="BR166" s="217">
        <f ca="1">+BQ167</f>
        <v>166.9000000000006</v>
      </c>
      <c r="BS166" s="578">
        <f ca="1">+BR167</f>
        <v>177.30000000000078</v>
      </c>
      <c r="BT166" s="217">
        <f ca="1">+BS167</f>
        <v>197.30000000000047</v>
      </c>
      <c r="BU166" s="218">
        <f ca="1">+BP167</f>
        <v>83.100000000000662</v>
      </c>
      <c r="BV166" s="578">
        <f ca="1">+BU167</f>
        <v>177.40000000000032</v>
      </c>
      <c r="BW166" s="217">
        <f ca="1">+BV167</f>
        <v>199.10000000000028</v>
      </c>
      <c r="BX166" s="217">
        <f ca="1">+BW167</f>
        <v>125.60000000000075</v>
      </c>
      <c r="BY166" s="217">
        <f ca="1">+BX167</f>
        <v>154.4999999999998</v>
      </c>
      <c r="BZ166" s="218">
        <f ca="1">+BU167</f>
        <v>177.40000000000032</v>
      </c>
      <c r="CA166" s="217">
        <f ca="1">+BZ167</f>
        <v>90.300000000000338</v>
      </c>
      <c r="CB166" s="217">
        <f ca="1">+CA167</f>
        <v>90.299999999996245</v>
      </c>
      <c r="CC166" s="217">
        <f ca="1">+CB167</f>
        <v>90.299999999996189</v>
      </c>
      <c r="CD166" s="217">
        <f ca="1">+CC167</f>
        <v>90.299999999995563</v>
      </c>
      <c r="CE166" s="218">
        <f ca="1">+BZ167</f>
        <v>90.300000000000338</v>
      </c>
      <c r="CF166" s="217">
        <f ca="1">+CE167</f>
        <v>90.299999999996245</v>
      </c>
      <c r="CG166" s="217">
        <f ca="1">+CF167</f>
        <v>90.299999999994654</v>
      </c>
      <c r="CH166" s="217">
        <f ca="1">+CG167</f>
        <v>90.299999999996018</v>
      </c>
      <c r="CI166" s="217">
        <f ca="1">+CH167</f>
        <v>90.299999999994995</v>
      </c>
      <c r="CJ166" s="218">
        <f ca="1">+CE167</f>
        <v>90.299999999996245</v>
      </c>
      <c r="CK166" s="217">
        <f ca="1">+CJ167</f>
        <v>90.299999999993972</v>
      </c>
      <c r="CL166" s="217">
        <f ca="1">+CK167</f>
        <v>90.299999999999656</v>
      </c>
      <c r="CM166" s="217">
        <f ca="1">+CL167</f>
        <v>90.300000000000225</v>
      </c>
      <c r="CN166" s="217">
        <f ca="1">+CM167</f>
        <v>90.299999999996359</v>
      </c>
      <c r="CO166" s="218">
        <f ca="1">+CJ167</f>
        <v>90.299999999993972</v>
      </c>
      <c r="CP166" s="217">
        <f ca="1">+CO167</f>
        <v>90.300000000002157</v>
      </c>
      <c r="CQ166" s="217">
        <f ca="1">+CP167</f>
        <v>90.299999999994199</v>
      </c>
      <c r="CR166" s="217">
        <f ca="1">+CQ167</f>
        <v>90.299999999997837</v>
      </c>
      <c r="CS166" s="217">
        <f ca="1">+CR167</f>
        <v>90.299999999996018</v>
      </c>
      <c r="CT166" s="218">
        <f ca="1">+CO167</f>
        <v>90.300000000002157</v>
      </c>
      <c r="CU166" s="217">
        <f ca="1">+CT167</f>
        <v>90.300000000004886</v>
      </c>
      <c r="CV166" s="217">
        <f ca="1">+CU167</f>
        <v>90.300000000000566</v>
      </c>
      <c r="CW166" s="217">
        <f ca="1">+CV167</f>
        <v>90.30000000000534</v>
      </c>
      <c r="CX166" s="217">
        <f ca="1">+CW167</f>
        <v>90.300000000001589</v>
      </c>
      <c r="CY166" s="218">
        <f ca="1">+CT167</f>
        <v>90.300000000004886</v>
      </c>
      <c r="CZ166" s="222"/>
      <c r="DA166" s="730"/>
      <c r="DB166" s="735"/>
      <c r="DC166" s="835"/>
      <c r="DD166" s="730"/>
      <c r="DF166" s="730"/>
      <c r="DG166" s="735"/>
      <c r="DH166" s="735"/>
      <c r="DI166" s="730"/>
      <c r="DJ166" s="730"/>
      <c r="DK166" s="730"/>
      <c r="DL166" s="747"/>
      <c r="DM166" s="840"/>
      <c r="DN166" s="747"/>
      <c r="DU166" s="48"/>
      <c r="DV166" s="48"/>
      <c r="DW166" s="730"/>
      <c r="DX166" s="730"/>
      <c r="DY166" s="730"/>
      <c r="DZ166" s="730"/>
      <c r="EA166" s="730"/>
    </row>
    <row r="167" spans="1:131" x14ac:dyDescent="0.2">
      <c r="A167" s="78" t="s">
        <v>165</v>
      </c>
      <c r="B167" s="78"/>
      <c r="C167" s="78"/>
      <c r="D167" s="155">
        <f t="shared" ref="D167:AI167" si="228">+D166+D165</f>
        <v>46.007999999999981</v>
      </c>
      <c r="E167" s="155">
        <f t="shared" si="228"/>
        <v>47.465000000000039</v>
      </c>
      <c r="F167" s="155">
        <f t="shared" si="228"/>
        <v>38.374999999999929</v>
      </c>
      <c r="G167" s="155">
        <f t="shared" si="228"/>
        <v>37.136000000000095</v>
      </c>
      <c r="H167" s="156">
        <f t="shared" si="228"/>
        <v>37.136000000000053</v>
      </c>
      <c r="I167" s="155">
        <f t="shared" si="228"/>
        <v>11.443000000000062</v>
      </c>
      <c r="J167" s="155">
        <f t="shared" si="228"/>
        <v>9.7680000000000788</v>
      </c>
      <c r="K167" s="155">
        <f t="shared" si="228"/>
        <v>12.754000000000065</v>
      </c>
      <c r="L167" s="155">
        <f t="shared" si="228"/>
        <v>17.635999999999807</v>
      </c>
      <c r="M167" s="156">
        <f t="shared" si="228"/>
        <v>17.600000000000001</v>
      </c>
      <c r="N167" s="155">
        <f t="shared" si="228"/>
        <v>19.149000000000022</v>
      </c>
      <c r="O167" s="155">
        <f t="shared" si="228"/>
        <v>18.600000000000026</v>
      </c>
      <c r="P167" s="155">
        <f t="shared" si="228"/>
        <v>26.400000000000027</v>
      </c>
      <c r="Q167" s="155">
        <f t="shared" si="228"/>
        <v>10.899999999999965</v>
      </c>
      <c r="R167" s="156">
        <f t="shared" si="228"/>
        <v>10.89999999999999</v>
      </c>
      <c r="S167" s="155">
        <f t="shared" si="228"/>
        <v>37.499999999999993</v>
      </c>
      <c r="T167" s="155">
        <f t="shared" si="228"/>
        <v>42.199999999999768</v>
      </c>
      <c r="U167" s="155">
        <f t="shared" si="228"/>
        <v>34.699999999999484</v>
      </c>
      <c r="V167" s="155">
        <f t="shared" si="228"/>
        <v>33.499999999999631</v>
      </c>
      <c r="W167" s="156">
        <f t="shared" si="228"/>
        <v>33.500000000000185</v>
      </c>
      <c r="X167" s="155">
        <f t="shared" si="228"/>
        <v>33.50000000000022</v>
      </c>
      <c r="Y167" s="155">
        <f t="shared" si="228"/>
        <v>33.200000000000124</v>
      </c>
      <c r="Z167" s="155">
        <f t="shared" si="228"/>
        <v>24.900000000000176</v>
      </c>
      <c r="AA167" s="155">
        <f t="shared" si="228"/>
        <v>20.500000000000178</v>
      </c>
      <c r="AB167" s="156">
        <f t="shared" si="228"/>
        <v>20.500000000000366</v>
      </c>
      <c r="AC167" s="155">
        <f t="shared" si="228"/>
        <v>25.200000000000355</v>
      </c>
      <c r="AD167" s="155">
        <f t="shared" si="228"/>
        <v>24.900000000000322</v>
      </c>
      <c r="AE167" s="155">
        <f t="shared" si="228"/>
        <v>181.30000000000032</v>
      </c>
      <c r="AF167" s="155">
        <f t="shared" si="228"/>
        <v>13.100000000000335</v>
      </c>
      <c r="AG167" s="156">
        <f t="shared" si="228"/>
        <v>13.099999999999909</v>
      </c>
      <c r="AH167" s="155">
        <f t="shared" si="228"/>
        <v>16.799999999999898</v>
      </c>
      <c r="AI167" s="155">
        <f t="shared" si="228"/>
        <v>19.699999999999921</v>
      </c>
      <c r="AJ167" s="155">
        <f t="shared" ref="AJ167" si="229">+AJ166+AJ165</f>
        <v>50.299999999999983</v>
      </c>
      <c r="AK167" s="155">
        <f t="shared" ref="AK167:BP167" ca="1" si="230">+AK166+AK165</f>
        <v>43.500000000000014</v>
      </c>
      <c r="AL167" s="156">
        <f t="shared" ca="1" si="230"/>
        <v>43.500000000000043</v>
      </c>
      <c r="AM167" s="155">
        <f t="shared" ca="1" si="230"/>
        <v>20.900000000000031</v>
      </c>
      <c r="AN167" s="155">
        <f t="shared" ca="1" si="230"/>
        <v>13.900000000000054</v>
      </c>
      <c r="AO167" s="155">
        <f t="shared" ca="1" si="230"/>
        <v>16.000000000000085</v>
      </c>
      <c r="AP167" s="155">
        <f t="shared" ca="1" si="230"/>
        <v>9.1999999999999815</v>
      </c>
      <c r="AQ167" s="156">
        <f t="shared" ca="1" si="230"/>
        <v>9.2000000000000881</v>
      </c>
      <c r="AR167" s="155">
        <f t="shared" ca="1" si="230"/>
        <v>13.400000000000066</v>
      </c>
      <c r="AS167" s="155">
        <f t="shared" ca="1" si="230"/>
        <v>10.000000000000094</v>
      </c>
      <c r="AT167" s="157">
        <f t="shared" ca="1" si="230"/>
        <v>55.8</v>
      </c>
      <c r="AU167" s="155">
        <f t="shared" ca="1" si="230"/>
        <v>85.800000000000068</v>
      </c>
      <c r="AV167" s="156">
        <f t="shared" ca="1" si="230"/>
        <v>85.800000000000182</v>
      </c>
      <c r="AW167" s="155">
        <f t="shared" ca="1" si="230"/>
        <v>69.300000000000267</v>
      </c>
      <c r="AX167" s="155">
        <f t="shared" ca="1" si="230"/>
        <v>178.50000000000034</v>
      </c>
      <c r="AY167" s="155">
        <f t="shared" ca="1" si="230"/>
        <v>200.50000000000023</v>
      </c>
      <c r="AZ167" s="155">
        <f t="shared" ca="1" si="230"/>
        <v>331.50000000000011</v>
      </c>
      <c r="BA167" s="156">
        <f t="shared" ca="1" si="230"/>
        <v>331.50000000000006</v>
      </c>
      <c r="BB167" s="155">
        <f t="shared" ca="1" si="230"/>
        <v>609.29999999999984</v>
      </c>
      <c r="BC167" s="155">
        <f t="shared" ca="1" si="230"/>
        <v>116.80000000000018</v>
      </c>
      <c r="BD167" s="155">
        <f t="shared" ca="1" si="230"/>
        <v>65.200000000000216</v>
      </c>
      <c r="BE167" s="155">
        <f t="shared" ca="1" si="230"/>
        <v>63.899999999999906</v>
      </c>
      <c r="BF167" s="156">
        <f t="shared" ca="1" si="230"/>
        <v>63.900000000000148</v>
      </c>
      <c r="BG167" s="155">
        <f t="shared" ca="1" si="230"/>
        <v>377.90000000000015</v>
      </c>
      <c r="BH167" s="155">
        <f t="shared" ca="1" si="230"/>
        <v>104.3000000000003</v>
      </c>
      <c r="BI167" s="155">
        <f t="shared" ca="1" si="230"/>
        <v>67.300000000000324</v>
      </c>
      <c r="BJ167" s="155">
        <f t="shared" ca="1" si="230"/>
        <v>110.10000000000005</v>
      </c>
      <c r="BK167" s="156">
        <f t="shared" ca="1" si="230"/>
        <v>110.10000000000014</v>
      </c>
      <c r="BL167" s="70">
        <f t="shared" ca="1" si="230"/>
        <v>130.70000000000016</v>
      </c>
      <c r="BM167" s="155">
        <f t="shared" ca="1" si="230"/>
        <v>329.70000000000027</v>
      </c>
      <c r="BN167" s="155">
        <f t="shared" ca="1" si="230"/>
        <v>491.30000000000007</v>
      </c>
      <c r="BO167" s="155">
        <f t="shared" ca="1" si="230"/>
        <v>83.100000000000136</v>
      </c>
      <c r="BP167" s="156">
        <f t="shared" ca="1" si="230"/>
        <v>83.100000000000662</v>
      </c>
      <c r="BQ167" s="155">
        <f t="shared" ref="BQ167:CV167" ca="1" si="231">+BQ166+BQ165</f>
        <v>166.9000000000006</v>
      </c>
      <c r="BR167" s="155">
        <f t="shared" ca="1" si="231"/>
        <v>177.30000000000078</v>
      </c>
      <c r="BS167" s="70">
        <f t="shared" ca="1" si="231"/>
        <v>197.30000000000047</v>
      </c>
      <c r="BT167" s="155">
        <f t="shared" ca="1" si="231"/>
        <v>177.4000000000002</v>
      </c>
      <c r="BU167" s="156">
        <f t="shared" ca="1" si="231"/>
        <v>177.40000000000032</v>
      </c>
      <c r="BV167" s="70">
        <f t="shared" ca="1" si="231"/>
        <v>199.10000000000028</v>
      </c>
      <c r="BW167" s="155">
        <f t="shared" ca="1" si="231"/>
        <v>125.60000000000075</v>
      </c>
      <c r="BX167" s="155">
        <f t="shared" ca="1" si="231"/>
        <v>154.4999999999998</v>
      </c>
      <c r="BY167" s="155">
        <f t="shared" ca="1" si="231"/>
        <v>90.300000000000338</v>
      </c>
      <c r="BZ167" s="156">
        <f t="shared" ca="1" si="231"/>
        <v>90.300000000000338</v>
      </c>
      <c r="CA167" s="155">
        <f t="shared" ca="1" si="231"/>
        <v>90.299999999996245</v>
      </c>
      <c r="CB167" s="155">
        <f t="shared" ca="1" si="231"/>
        <v>90.299999999996189</v>
      </c>
      <c r="CC167" s="155">
        <f t="shared" ca="1" si="231"/>
        <v>90.299999999995563</v>
      </c>
      <c r="CD167" s="155">
        <f t="shared" ca="1" si="231"/>
        <v>90.299999999997411</v>
      </c>
      <c r="CE167" s="156">
        <f t="shared" ca="1" si="231"/>
        <v>90.299999999996245</v>
      </c>
      <c r="CF167" s="155">
        <f t="shared" ca="1" si="231"/>
        <v>90.299999999994654</v>
      </c>
      <c r="CG167" s="155">
        <f t="shared" ca="1" si="231"/>
        <v>90.299999999996018</v>
      </c>
      <c r="CH167" s="155">
        <f t="shared" ca="1" si="231"/>
        <v>90.299999999994995</v>
      </c>
      <c r="CI167" s="155">
        <f t="shared" ca="1" si="231"/>
        <v>90.299999999993517</v>
      </c>
      <c r="CJ167" s="156">
        <f t="shared" ca="1" si="231"/>
        <v>90.299999999993972</v>
      </c>
      <c r="CK167" s="155">
        <f t="shared" ca="1" si="231"/>
        <v>90.299999999999656</v>
      </c>
      <c r="CL167" s="155">
        <f t="shared" ca="1" si="231"/>
        <v>90.300000000000225</v>
      </c>
      <c r="CM167" s="155">
        <f t="shared" ca="1" si="231"/>
        <v>90.299999999996359</v>
      </c>
      <c r="CN167" s="155">
        <f t="shared" ca="1" si="231"/>
        <v>90.300000000002328</v>
      </c>
      <c r="CO167" s="156">
        <f t="shared" ca="1" si="231"/>
        <v>90.300000000002157</v>
      </c>
      <c r="CP167" s="155">
        <f t="shared" ca="1" si="231"/>
        <v>90.299999999994199</v>
      </c>
      <c r="CQ167" s="155">
        <f t="shared" ca="1" si="231"/>
        <v>90.299999999997837</v>
      </c>
      <c r="CR167" s="155">
        <f t="shared" ca="1" si="231"/>
        <v>90.299999999996018</v>
      </c>
      <c r="CS167" s="155">
        <f t="shared" ca="1" si="231"/>
        <v>90.300000000002385</v>
      </c>
      <c r="CT167" s="156">
        <f t="shared" ca="1" si="231"/>
        <v>90.300000000004886</v>
      </c>
      <c r="CU167" s="155">
        <f t="shared" ca="1" si="231"/>
        <v>90.300000000000566</v>
      </c>
      <c r="CV167" s="155">
        <f t="shared" ca="1" si="231"/>
        <v>90.30000000000534</v>
      </c>
      <c r="CW167" s="155">
        <f t="shared" ref="CW167:CY167" ca="1" si="232">+CW166+CW165</f>
        <v>90.300000000001589</v>
      </c>
      <c r="CX167" s="155">
        <f t="shared" ca="1" si="232"/>
        <v>90.300000000002953</v>
      </c>
      <c r="CY167" s="156">
        <f t="shared" ca="1" si="232"/>
        <v>90.300000000001702</v>
      </c>
      <c r="CZ167" s="157"/>
      <c r="DA167" s="733"/>
      <c r="DB167" s="741"/>
      <c r="DC167" s="841"/>
      <c r="DD167" s="733"/>
      <c r="DE167" s="734"/>
      <c r="DF167" s="733"/>
      <c r="DG167" s="741"/>
      <c r="DH167" s="741"/>
      <c r="DI167" s="733"/>
      <c r="DJ167" s="733"/>
      <c r="DK167" s="733"/>
      <c r="DL167" s="747"/>
      <c r="DM167" s="760"/>
      <c r="DN167" s="747"/>
      <c r="DU167" s="78"/>
      <c r="DV167" s="78"/>
      <c r="DW167" s="733"/>
      <c r="DX167" s="733"/>
      <c r="DY167" s="733"/>
      <c r="DZ167" s="733"/>
      <c r="EA167" s="733"/>
    </row>
    <row r="168" spans="1:131" x14ac:dyDescent="0.2">
      <c r="A168" s="48"/>
      <c r="B168" s="48"/>
      <c r="C168" s="48"/>
      <c r="D168" s="230" t="str">
        <f t="shared" ref="D168:AI168" si="233">IF(ROUND(D167-D92-D93,0)=0,"OK","Not OK")</f>
        <v>OK</v>
      </c>
      <c r="E168" s="230" t="str">
        <f t="shared" si="233"/>
        <v>OK</v>
      </c>
      <c r="F168" s="230" t="str">
        <f t="shared" si="233"/>
        <v>OK</v>
      </c>
      <c r="G168" s="230" t="str">
        <f t="shared" si="233"/>
        <v>OK</v>
      </c>
      <c r="H168" s="231" t="str">
        <f t="shared" si="233"/>
        <v>OK</v>
      </c>
      <c r="I168" s="230" t="str">
        <f t="shared" si="233"/>
        <v>OK</v>
      </c>
      <c r="J168" s="230" t="str">
        <f t="shared" si="233"/>
        <v>OK</v>
      </c>
      <c r="K168" s="230" t="str">
        <f t="shared" si="233"/>
        <v>OK</v>
      </c>
      <c r="L168" s="230" t="str">
        <f t="shared" si="233"/>
        <v>OK</v>
      </c>
      <c r="M168" s="231" t="str">
        <f t="shared" si="233"/>
        <v>OK</v>
      </c>
      <c r="N168" s="230" t="str">
        <f t="shared" si="233"/>
        <v>OK</v>
      </c>
      <c r="O168" s="230" t="str">
        <f t="shared" si="233"/>
        <v>OK</v>
      </c>
      <c r="P168" s="230" t="str">
        <f t="shared" si="233"/>
        <v>OK</v>
      </c>
      <c r="Q168" s="230" t="str">
        <f t="shared" si="233"/>
        <v>OK</v>
      </c>
      <c r="R168" s="231" t="str">
        <f t="shared" si="233"/>
        <v>OK</v>
      </c>
      <c r="S168" s="230" t="str">
        <f t="shared" si="233"/>
        <v>OK</v>
      </c>
      <c r="T168" s="230" t="str">
        <f t="shared" si="233"/>
        <v>OK</v>
      </c>
      <c r="U168" s="230" t="str">
        <f t="shared" si="233"/>
        <v>OK</v>
      </c>
      <c r="V168" s="230" t="str">
        <f t="shared" si="233"/>
        <v>OK</v>
      </c>
      <c r="W168" s="231" t="str">
        <f t="shared" si="233"/>
        <v>OK</v>
      </c>
      <c r="X168" s="230" t="str">
        <f t="shared" si="233"/>
        <v>OK</v>
      </c>
      <c r="Y168" s="230" t="str">
        <f t="shared" si="233"/>
        <v>OK</v>
      </c>
      <c r="Z168" s="230" t="str">
        <f t="shared" si="233"/>
        <v>OK</v>
      </c>
      <c r="AA168" s="230" t="str">
        <f t="shared" si="233"/>
        <v>OK</v>
      </c>
      <c r="AB168" s="231" t="str">
        <f t="shared" si="233"/>
        <v>OK</v>
      </c>
      <c r="AC168" s="230" t="str">
        <f t="shared" si="233"/>
        <v>OK</v>
      </c>
      <c r="AD168" s="230" t="str">
        <f t="shared" si="233"/>
        <v>OK</v>
      </c>
      <c r="AE168" s="230" t="str">
        <f t="shared" si="233"/>
        <v>OK</v>
      </c>
      <c r="AF168" s="230" t="str">
        <f t="shared" si="233"/>
        <v>OK</v>
      </c>
      <c r="AG168" s="231" t="str">
        <f t="shared" si="233"/>
        <v>OK</v>
      </c>
      <c r="AH168" s="230" t="str">
        <f t="shared" si="233"/>
        <v>OK</v>
      </c>
      <c r="AI168" s="230" t="str">
        <f t="shared" si="233"/>
        <v>OK</v>
      </c>
      <c r="AJ168" s="230" t="str">
        <f t="shared" ref="AJ168" si="234">IF(ROUND(AJ167-AJ92-AJ93,0)=0,"OK","Not OK")</f>
        <v>OK</v>
      </c>
      <c r="AK168" s="230" t="str">
        <f t="shared" ref="AK168:BP168" ca="1" si="235">IF(ROUND(AK167-AK92-AK93,0)=0,"OK","Not OK")</f>
        <v>OK</v>
      </c>
      <c r="AL168" s="231" t="str">
        <f t="shared" ca="1" si="235"/>
        <v>OK</v>
      </c>
      <c r="AM168" s="230" t="str">
        <f t="shared" ca="1" si="235"/>
        <v>OK</v>
      </c>
      <c r="AN168" s="230" t="str">
        <f t="shared" ca="1" si="235"/>
        <v>OK</v>
      </c>
      <c r="AO168" s="230" t="str">
        <f t="shared" ca="1" si="235"/>
        <v>OK</v>
      </c>
      <c r="AP168" s="230" t="str">
        <f t="shared" ca="1" si="235"/>
        <v>OK</v>
      </c>
      <c r="AQ168" s="231" t="str">
        <f t="shared" ca="1" si="235"/>
        <v>OK</v>
      </c>
      <c r="AR168" s="230" t="str">
        <f t="shared" ca="1" si="235"/>
        <v>OK</v>
      </c>
      <c r="AS168" s="230" t="str">
        <f t="shared" ca="1" si="235"/>
        <v>OK</v>
      </c>
      <c r="AT168" s="232" t="str">
        <f t="shared" ca="1" si="235"/>
        <v>OK</v>
      </c>
      <c r="AU168" s="230" t="str">
        <f t="shared" ca="1" si="235"/>
        <v>OK</v>
      </c>
      <c r="AV168" s="231" t="str">
        <f t="shared" ca="1" si="235"/>
        <v>OK</v>
      </c>
      <c r="AW168" s="230" t="str">
        <f t="shared" ca="1" si="235"/>
        <v>OK</v>
      </c>
      <c r="AX168" s="230" t="str">
        <f t="shared" ca="1" si="235"/>
        <v>OK</v>
      </c>
      <c r="AY168" s="230" t="str">
        <f t="shared" ca="1" si="235"/>
        <v>OK</v>
      </c>
      <c r="AZ168" s="230" t="str">
        <f t="shared" ca="1" si="235"/>
        <v>OK</v>
      </c>
      <c r="BA168" s="231" t="str">
        <f t="shared" ca="1" si="235"/>
        <v>OK</v>
      </c>
      <c r="BB168" s="230" t="str">
        <f t="shared" ca="1" si="235"/>
        <v>OK</v>
      </c>
      <c r="BC168" s="230" t="str">
        <f t="shared" ca="1" si="235"/>
        <v>OK</v>
      </c>
      <c r="BD168" s="230" t="str">
        <f t="shared" ca="1" si="235"/>
        <v>OK</v>
      </c>
      <c r="BE168" s="230" t="str">
        <f t="shared" ca="1" si="235"/>
        <v>OK</v>
      </c>
      <c r="BF168" s="231" t="str">
        <f t="shared" ca="1" si="235"/>
        <v>OK</v>
      </c>
      <c r="BG168" s="230" t="str">
        <f t="shared" ca="1" si="235"/>
        <v>OK</v>
      </c>
      <c r="BH168" s="230" t="str">
        <f t="shared" ca="1" si="235"/>
        <v>OK</v>
      </c>
      <c r="BI168" s="230" t="str">
        <f t="shared" ca="1" si="235"/>
        <v>OK</v>
      </c>
      <c r="BJ168" s="230" t="str">
        <f t="shared" ca="1" si="235"/>
        <v>OK</v>
      </c>
      <c r="BK168" s="231" t="str">
        <f t="shared" ca="1" si="235"/>
        <v>OK</v>
      </c>
      <c r="BL168" s="230" t="str">
        <f t="shared" ca="1" si="235"/>
        <v>OK</v>
      </c>
      <c r="BM168" s="230" t="str">
        <f t="shared" ca="1" si="235"/>
        <v>OK</v>
      </c>
      <c r="BN168" s="230" t="str">
        <f t="shared" ca="1" si="235"/>
        <v>OK</v>
      </c>
      <c r="BO168" s="230" t="str">
        <f t="shared" ca="1" si="235"/>
        <v>OK</v>
      </c>
      <c r="BP168" s="231" t="str">
        <f t="shared" ca="1" si="235"/>
        <v>OK</v>
      </c>
      <c r="BQ168" s="230" t="str">
        <f t="shared" ref="BQ168:CV168" ca="1" si="236">IF(ROUND(BQ167-BQ92-BQ93,0)=0,"OK","Not OK")</f>
        <v>OK</v>
      </c>
      <c r="BR168" s="230" t="str">
        <f t="shared" ca="1" si="236"/>
        <v>OK</v>
      </c>
      <c r="BS168" s="230" t="str">
        <f t="shared" ca="1" si="236"/>
        <v>OK</v>
      </c>
      <c r="BT168" s="230" t="str">
        <f t="shared" ca="1" si="236"/>
        <v>OK</v>
      </c>
      <c r="BU168" s="231" t="str">
        <f t="shared" ca="1" si="236"/>
        <v>OK</v>
      </c>
      <c r="BV168" s="230" t="str">
        <f t="shared" ca="1" si="236"/>
        <v>OK</v>
      </c>
      <c r="BW168" s="230" t="str">
        <f t="shared" ca="1" si="236"/>
        <v>OK</v>
      </c>
      <c r="BX168" s="230" t="str">
        <f t="shared" ca="1" si="236"/>
        <v>OK</v>
      </c>
      <c r="BY168" s="230" t="str">
        <f t="shared" ca="1" si="236"/>
        <v>OK</v>
      </c>
      <c r="BZ168" s="231" t="str">
        <f t="shared" ca="1" si="236"/>
        <v>OK</v>
      </c>
      <c r="CA168" s="230" t="str">
        <f t="shared" ca="1" si="236"/>
        <v>OK</v>
      </c>
      <c r="CB168" s="230" t="str">
        <f t="shared" ca="1" si="236"/>
        <v>OK</v>
      </c>
      <c r="CC168" s="230" t="str">
        <f t="shared" ca="1" si="236"/>
        <v>OK</v>
      </c>
      <c r="CD168" s="230" t="str">
        <f t="shared" ca="1" si="236"/>
        <v>OK</v>
      </c>
      <c r="CE168" s="231" t="str">
        <f t="shared" ca="1" si="236"/>
        <v>OK</v>
      </c>
      <c r="CF168" s="230" t="str">
        <f t="shared" ca="1" si="236"/>
        <v>OK</v>
      </c>
      <c r="CG168" s="230" t="str">
        <f t="shared" ca="1" si="236"/>
        <v>OK</v>
      </c>
      <c r="CH168" s="230" t="str">
        <f t="shared" ca="1" si="236"/>
        <v>OK</v>
      </c>
      <c r="CI168" s="230" t="str">
        <f t="shared" ca="1" si="236"/>
        <v>OK</v>
      </c>
      <c r="CJ168" s="231" t="str">
        <f t="shared" ca="1" si="236"/>
        <v>OK</v>
      </c>
      <c r="CK168" s="230" t="str">
        <f t="shared" ca="1" si="236"/>
        <v>OK</v>
      </c>
      <c r="CL168" s="230" t="str">
        <f t="shared" ca="1" si="236"/>
        <v>OK</v>
      </c>
      <c r="CM168" s="230" t="str">
        <f t="shared" ca="1" si="236"/>
        <v>OK</v>
      </c>
      <c r="CN168" s="230" t="str">
        <f t="shared" ca="1" si="236"/>
        <v>OK</v>
      </c>
      <c r="CO168" s="231" t="str">
        <f t="shared" ca="1" si="236"/>
        <v>OK</v>
      </c>
      <c r="CP168" s="230" t="str">
        <f t="shared" ca="1" si="236"/>
        <v>OK</v>
      </c>
      <c r="CQ168" s="230" t="str">
        <f t="shared" ca="1" si="236"/>
        <v>OK</v>
      </c>
      <c r="CR168" s="230" t="str">
        <f t="shared" ca="1" si="236"/>
        <v>OK</v>
      </c>
      <c r="CS168" s="230" t="str">
        <f t="shared" ca="1" si="236"/>
        <v>OK</v>
      </c>
      <c r="CT168" s="231" t="str">
        <f t="shared" ca="1" si="236"/>
        <v>OK</v>
      </c>
      <c r="CU168" s="230" t="str">
        <f t="shared" ca="1" si="236"/>
        <v>OK</v>
      </c>
      <c r="CV168" s="230" t="str">
        <f t="shared" ca="1" si="236"/>
        <v>OK</v>
      </c>
      <c r="CW168" s="230" t="str">
        <f t="shared" ref="CW168:CY168" ca="1" si="237">IF(ROUND(CW167-CW92-CW93,0)=0,"OK","Not OK")</f>
        <v>OK</v>
      </c>
      <c r="CX168" s="230" t="str">
        <f t="shared" ca="1" si="237"/>
        <v>OK</v>
      </c>
      <c r="CY168" s="231" t="str">
        <f t="shared" ca="1" si="237"/>
        <v>OK</v>
      </c>
      <c r="CZ168" s="232"/>
      <c r="DA168" s="730"/>
      <c r="DB168" s="6"/>
      <c r="DC168" s="842"/>
      <c r="DD168" s="730"/>
      <c r="DF168" s="730"/>
      <c r="DG168" s="6"/>
      <c r="DH168" s="6"/>
      <c r="DI168" s="730"/>
      <c r="DJ168" s="730"/>
      <c r="DK168" s="730"/>
      <c r="DL168" s="747"/>
      <c r="DM168" s="843"/>
      <c r="DN168" s="747"/>
      <c r="DU168" s="48"/>
      <c r="DV168" s="48"/>
      <c r="DW168" s="730"/>
      <c r="DX168" s="730"/>
      <c r="DY168" s="730"/>
      <c r="DZ168" s="730"/>
      <c r="EA168" s="730"/>
    </row>
    <row r="169" spans="1:131" x14ac:dyDescent="0.2">
      <c r="A169" s="51" t="s">
        <v>166</v>
      </c>
      <c r="B169" s="51"/>
      <c r="C169" s="48"/>
      <c r="D169" s="62"/>
      <c r="E169" s="62"/>
      <c r="F169" s="119"/>
      <c r="G169" s="119"/>
      <c r="H169" s="141"/>
      <c r="I169" s="119"/>
      <c r="J169" s="119"/>
      <c r="K169" s="119"/>
      <c r="L169" s="119"/>
      <c r="M169" s="141"/>
      <c r="N169" s="119"/>
      <c r="O169" s="119"/>
      <c r="P169" s="119"/>
      <c r="Q169" s="119"/>
      <c r="R169" s="141"/>
      <c r="S169" s="119"/>
      <c r="T169" s="119"/>
      <c r="U169" s="139"/>
      <c r="V169" s="119"/>
      <c r="W169" s="141"/>
      <c r="X169" s="119"/>
      <c r="Y169" s="119"/>
      <c r="Z169" s="119"/>
      <c r="AA169" s="119"/>
      <c r="AB169" s="141"/>
      <c r="AC169" s="119"/>
      <c r="AD169" s="119"/>
      <c r="AE169" s="119"/>
      <c r="AF169" s="119"/>
      <c r="AG169" s="141"/>
      <c r="AH169" s="119"/>
      <c r="AI169" s="119"/>
      <c r="AJ169" s="119"/>
      <c r="AK169" s="119"/>
      <c r="AL169" s="141"/>
      <c r="AM169" s="119"/>
      <c r="AN169" s="119"/>
      <c r="AO169" s="119"/>
      <c r="AP169" s="88"/>
      <c r="AQ169" s="141"/>
      <c r="AR169" s="100"/>
      <c r="AS169" s="119"/>
      <c r="AT169" s="119"/>
      <c r="AU169" s="119"/>
      <c r="AV169" s="141"/>
      <c r="AW169" s="119"/>
      <c r="AX169" s="119"/>
      <c r="AY169" s="119"/>
      <c r="AZ169" s="119"/>
      <c r="BA169" s="178"/>
      <c r="BB169" s="119"/>
      <c r="BC169" s="119"/>
      <c r="BD169" s="119"/>
      <c r="BE169" s="119"/>
      <c r="BF169" s="141"/>
      <c r="BG169" s="119"/>
      <c r="BH169" s="119"/>
      <c r="BI169" s="119"/>
      <c r="BJ169" s="119"/>
      <c r="BK169" s="141"/>
      <c r="BL169" s="62"/>
      <c r="BM169" s="119"/>
      <c r="BN169" s="119"/>
      <c r="BO169" s="119"/>
      <c r="BP169" s="141"/>
      <c r="BQ169" s="119"/>
      <c r="BR169" s="119"/>
      <c r="BS169" s="577"/>
      <c r="BT169" s="119"/>
      <c r="BU169" s="141"/>
      <c r="BV169" s="577"/>
      <c r="BW169" s="88"/>
      <c r="BX169" s="119"/>
      <c r="BY169" s="119"/>
      <c r="BZ169" s="141"/>
      <c r="CA169" s="119"/>
      <c r="CB169" s="119"/>
      <c r="CC169" s="119"/>
      <c r="CD169" s="119"/>
      <c r="CE169" s="199"/>
      <c r="CF169" s="119"/>
      <c r="CG169" s="119"/>
      <c r="CH169" s="119"/>
      <c r="CI169" s="119"/>
      <c r="CJ169" s="199"/>
      <c r="CK169" s="119"/>
      <c r="CL169" s="119"/>
      <c r="CM169" s="119"/>
      <c r="CN169" s="119"/>
      <c r="CO169" s="141"/>
      <c r="CP169" s="119"/>
      <c r="CQ169" s="119"/>
      <c r="CR169" s="119"/>
      <c r="CS169" s="119"/>
      <c r="CT169" s="141"/>
      <c r="CU169" s="119"/>
      <c r="CV169" s="119"/>
      <c r="CW169" s="119"/>
      <c r="CX169" s="119"/>
      <c r="CY169" s="141"/>
      <c r="CZ169" s="142"/>
      <c r="DA169" s="730"/>
      <c r="DB169" s="735"/>
      <c r="DC169" s="835"/>
      <c r="DD169" s="730"/>
      <c r="DF169" s="730"/>
      <c r="DG169" s="735"/>
      <c r="DH169" s="735"/>
      <c r="DI169" s="730"/>
      <c r="DJ169" s="730"/>
      <c r="DK169" s="730"/>
      <c r="DL169" s="747"/>
      <c r="DM169" s="844"/>
      <c r="DN169" s="747"/>
      <c r="DU169" s="48"/>
      <c r="DV169" s="48"/>
      <c r="DW169" s="730"/>
      <c r="DX169" s="730"/>
      <c r="DY169" s="730"/>
      <c r="DZ169" s="730"/>
      <c r="EA169" s="730"/>
    </row>
    <row r="170" spans="1:131" s="492" customFormat="1" x14ac:dyDescent="0.2">
      <c r="A170" s="317" t="s">
        <v>167</v>
      </c>
      <c r="B170" s="317"/>
      <c r="C170" s="317"/>
      <c r="D170" s="104"/>
      <c r="E170" s="104"/>
      <c r="F170" s="104"/>
      <c r="G170" s="104"/>
      <c r="H170" s="105">
        <f t="shared" ref="H170:AM170" si="238">H145</f>
        <v>340.30700000000002</v>
      </c>
      <c r="I170" s="104">
        <f t="shared" si="238"/>
        <v>-46.457999999999998</v>
      </c>
      <c r="J170" s="104">
        <f t="shared" si="238"/>
        <v>100.608</v>
      </c>
      <c r="K170" s="104">
        <f t="shared" si="238"/>
        <v>27.271999999999991</v>
      </c>
      <c r="L170" s="104">
        <f t="shared" si="238"/>
        <v>239.27800000000002</v>
      </c>
      <c r="M170" s="105">
        <f t="shared" si="238"/>
        <v>320.7</v>
      </c>
      <c r="N170" s="104">
        <f t="shared" si="238"/>
        <v>60.026000000000003</v>
      </c>
      <c r="O170" s="104">
        <f t="shared" si="238"/>
        <v>114.07399999999998</v>
      </c>
      <c r="P170" s="104">
        <f t="shared" si="238"/>
        <v>108.20000000000002</v>
      </c>
      <c r="Q170" s="104">
        <f t="shared" si="238"/>
        <v>153.69999999999996</v>
      </c>
      <c r="R170" s="105">
        <f t="shared" si="238"/>
        <v>436</v>
      </c>
      <c r="S170" s="104">
        <f t="shared" si="238"/>
        <v>5.6</v>
      </c>
      <c r="T170" s="104">
        <f t="shared" si="238"/>
        <v>79.300000000000011</v>
      </c>
      <c r="U170" s="104">
        <f t="shared" si="238"/>
        <v>33.199999999999989</v>
      </c>
      <c r="V170" s="104">
        <f t="shared" si="238"/>
        <v>195.09999999999997</v>
      </c>
      <c r="W170" s="105">
        <f t="shared" si="238"/>
        <v>313.2</v>
      </c>
      <c r="X170" s="104">
        <f t="shared" si="238"/>
        <v>-86.1</v>
      </c>
      <c r="Y170" s="104">
        <f t="shared" si="238"/>
        <v>263.79999999999995</v>
      </c>
      <c r="Z170" s="104">
        <f t="shared" si="238"/>
        <v>74.600000000000023</v>
      </c>
      <c r="AA170" s="104">
        <f t="shared" si="238"/>
        <v>267.5</v>
      </c>
      <c r="AB170" s="105">
        <f t="shared" si="238"/>
        <v>519.79999999999995</v>
      </c>
      <c r="AC170" s="104">
        <f t="shared" si="238"/>
        <v>-32.700000000000003</v>
      </c>
      <c r="AD170" s="104">
        <f t="shared" si="238"/>
        <v>209.5</v>
      </c>
      <c r="AE170" s="104">
        <f t="shared" si="238"/>
        <v>154.09999999999997</v>
      </c>
      <c r="AF170" s="104">
        <f t="shared" si="238"/>
        <v>176.00000000000006</v>
      </c>
      <c r="AG170" s="105">
        <f t="shared" si="238"/>
        <v>506.9</v>
      </c>
      <c r="AH170" s="104">
        <f t="shared" si="238"/>
        <v>-54.8</v>
      </c>
      <c r="AI170" s="104">
        <f t="shared" si="238"/>
        <v>152.19999999999999</v>
      </c>
      <c r="AJ170" s="104">
        <f t="shared" si="238"/>
        <v>91.300000000000011</v>
      </c>
      <c r="AK170" s="104">
        <f t="shared" si="238"/>
        <v>213.8</v>
      </c>
      <c r="AL170" s="105">
        <f t="shared" si="238"/>
        <v>402.5</v>
      </c>
      <c r="AM170" s="104">
        <f t="shared" si="238"/>
        <v>59.7</v>
      </c>
      <c r="AN170" s="104">
        <f t="shared" ref="AN170:BS170" si="239">AN145</f>
        <v>246</v>
      </c>
      <c r="AO170" s="104">
        <f t="shared" si="239"/>
        <v>63.300000000000011</v>
      </c>
      <c r="AP170" s="104">
        <f t="shared" si="239"/>
        <v>250.2999999999999</v>
      </c>
      <c r="AQ170" s="105">
        <f t="shared" si="239"/>
        <v>619.29999999999995</v>
      </c>
      <c r="AR170" s="104">
        <f t="shared" si="239"/>
        <v>241.3</v>
      </c>
      <c r="AS170" s="104">
        <f t="shared" si="239"/>
        <v>276.09999999999997</v>
      </c>
      <c r="AT170" s="104">
        <f t="shared" si="239"/>
        <v>123.39999999999998</v>
      </c>
      <c r="AU170" s="104">
        <f t="shared" si="239"/>
        <v>143.30000000000001</v>
      </c>
      <c r="AV170" s="105">
        <f t="shared" si="239"/>
        <v>784.1</v>
      </c>
      <c r="AW170" s="104">
        <f t="shared" si="239"/>
        <v>96.4</v>
      </c>
      <c r="AX170" s="104">
        <f t="shared" si="239"/>
        <v>272.10000000000002</v>
      </c>
      <c r="AY170" s="104">
        <f t="shared" si="239"/>
        <v>20.499999999999972</v>
      </c>
      <c r="AZ170" s="104">
        <f t="shared" si="239"/>
        <v>167.29999999999998</v>
      </c>
      <c r="BA170" s="105">
        <f t="shared" si="239"/>
        <v>556.29999999999995</v>
      </c>
      <c r="BB170" s="104">
        <f t="shared" si="239"/>
        <v>3.3</v>
      </c>
      <c r="BC170" s="104">
        <f t="shared" si="239"/>
        <v>485.7</v>
      </c>
      <c r="BD170" s="104">
        <f t="shared" si="239"/>
        <v>140.10000000000002</v>
      </c>
      <c r="BE170" s="104">
        <f t="shared" si="239"/>
        <v>197.10000000000008</v>
      </c>
      <c r="BF170" s="105">
        <f t="shared" si="239"/>
        <v>826.2</v>
      </c>
      <c r="BG170" s="104">
        <f t="shared" si="239"/>
        <v>232.2</v>
      </c>
      <c r="BH170" s="104">
        <f t="shared" si="239"/>
        <v>435.90000000000003</v>
      </c>
      <c r="BI170" s="104">
        <f t="shared" si="239"/>
        <v>82</v>
      </c>
      <c r="BJ170" s="104">
        <f t="shared" si="239"/>
        <v>330.89999999999992</v>
      </c>
      <c r="BK170" s="105">
        <f t="shared" si="239"/>
        <v>1081</v>
      </c>
      <c r="BL170" s="108">
        <f t="shared" si="239"/>
        <v>205.7</v>
      </c>
      <c r="BM170" s="104">
        <f t="shared" si="239"/>
        <v>597.40000000000009</v>
      </c>
      <c r="BN170" s="104">
        <f t="shared" si="239"/>
        <v>288.49999999999983</v>
      </c>
      <c r="BO170" s="104">
        <f t="shared" si="239"/>
        <v>322.10000000000008</v>
      </c>
      <c r="BP170" s="105">
        <f>BP145</f>
        <v>1413.7</v>
      </c>
      <c r="BQ170" s="104">
        <f t="shared" si="239"/>
        <v>345.9</v>
      </c>
      <c r="BR170" s="104">
        <f t="shared" si="239"/>
        <v>699.00000000000011</v>
      </c>
      <c r="BS170" s="104">
        <f t="shared" si="239"/>
        <v>370.79999999999995</v>
      </c>
      <c r="BT170" s="104">
        <f t="shared" ref="BT170" si="240">BT145</f>
        <v>280.29999999999984</v>
      </c>
      <c r="BU170" s="105">
        <f t="shared" ref="BU170:BX170" si="241">BU145</f>
        <v>1696</v>
      </c>
      <c r="BV170" s="562">
        <f t="shared" si="241"/>
        <v>381.6</v>
      </c>
      <c r="BW170" s="104">
        <f t="shared" si="241"/>
        <v>721.30000000000007</v>
      </c>
      <c r="BX170" s="104">
        <f t="shared" si="241"/>
        <v>365.5</v>
      </c>
      <c r="BY170" s="104">
        <f>BY145</f>
        <v>463.00000000000011</v>
      </c>
      <c r="BZ170" s="105">
        <f t="shared" ref="BZ170:CY170" si="242">BZ145</f>
        <v>1931.4</v>
      </c>
      <c r="CA170" s="104">
        <f t="shared" ca="1" si="242"/>
        <v>628.4154735946081</v>
      </c>
      <c r="CB170" s="104">
        <f t="shared" ca="1" si="242"/>
        <v>769.54106064354653</v>
      </c>
      <c r="CC170" s="104">
        <f t="shared" ca="1" si="242"/>
        <v>574.96332917327436</v>
      </c>
      <c r="CD170" s="104">
        <f t="shared" ca="1" si="242"/>
        <v>493.46633113279995</v>
      </c>
      <c r="CE170" s="105">
        <f t="shared" ca="1" si="242"/>
        <v>2466.3861945442277</v>
      </c>
      <c r="CF170" s="104">
        <f t="shared" ca="1" si="242"/>
        <v>718.13144285320243</v>
      </c>
      <c r="CG170" s="104">
        <f t="shared" ca="1" si="242"/>
        <v>826.98122293978463</v>
      </c>
      <c r="CH170" s="104">
        <f t="shared" ca="1" si="242"/>
        <v>614.3977779810848</v>
      </c>
      <c r="CI170" s="104">
        <f t="shared" ca="1" si="242"/>
        <v>522.87314929332149</v>
      </c>
      <c r="CJ170" s="105">
        <f t="shared" ca="1" si="242"/>
        <v>2682.3835930673936</v>
      </c>
      <c r="CK170" s="104">
        <f t="shared" ca="1" si="242"/>
        <v>770.31166545161761</v>
      </c>
      <c r="CL170" s="104">
        <f t="shared" ca="1" si="242"/>
        <v>904.34696386181963</v>
      </c>
      <c r="CM170" s="104">
        <f t="shared" ca="1" si="242"/>
        <v>675.2991323317724</v>
      </c>
      <c r="CN170" s="104">
        <f t="shared" ca="1" si="242"/>
        <v>577.05400551911589</v>
      </c>
      <c r="CO170" s="105">
        <f t="shared" ca="1" si="242"/>
        <v>2927.0117671643252</v>
      </c>
      <c r="CP170" s="104">
        <f t="shared" ca="1" si="242"/>
        <v>784.61911228295332</v>
      </c>
      <c r="CQ170" s="104">
        <f t="shared" ca="1" si="242"/>
        <v>956.5031427054862</v>
      </c>
      <c r="CR170" s="104">
        <f t="shared" ca="1" si="242"/>
        <v>717.84137334763795</v>
      </c>
      <c r="CS170" s="104">
        <f t="shared" ca="1" si="242"/>
        <v>609.71447778840786</v>
      </c>
      <c r="CT170" s="105">
        <f t="shared" ca="1" si="242"/>
        <v>3068.6781061244883</v>
      </c>
      <c r="CU170" s="104">
        <f t="shared" ca="1" si="242"/>
        <v>827.504174890645</v>
      </c>
      <c r="CV170" s="104">
        <f t="shared" ca="1" si="242"/>
        <v>1003.5310254472649</v>
      </c>
      <c r="CW170" s="104">
        <f t="shared" ca="1" si="242"/>
        <v>757.10789104679884</v>
      </c>
      <c r="CX170" s="104">
        <f t="shared" ca="1" si="242"/>
        <v>639.84542897498295</v>
      </c>
      <c r="CY170" s="105">
        <f t="shared" ca="1" si="242"/>
        <v>3227.9885203596905</v>
      </c>
      <c r="CZ170" s="106"/>
      <c r="DA170" s="744"/>
      <c r="DB170" s="308"/>
      <c r="DC170" s="729"/>
      <c r="DD170" s="744"/>
      <c r="DE170" s="745"/>
      <c r="DF170" s="744"/>
      <c r="DG170" s="308"/>
      <c r="DH170" s="308"/>
      <c r="DI170" s="744"/>
      <c r="DJ170" s="744"/>
      <c r="DK170" s="744"/>
      <c r="DL170" s="845"/>
      <c r="DM170" s="846"/>
      <c r="DN170" s="845"/>
      <c r="DO170"/>
      <c r="DP170"/>
      <c r="DQ170"/>
      <c r="DR170"/>
      <c r="DS170"/>
      <c r="DT170"/>
      <c r="DU170" s="317"/>
      <c r="DV170" s="317"/>
      <c r="DW170" s="744"/>
      <c r="DX170" s="744"/>
      <c r="DY170" s="744"/>
      <c r="DZ170" s="744"/>
      <c r="EA170" s="744"/>
    </row>
    <row r="171" spans="1:131" x14ac:dyDescent="0.2">
      <c r="A171" s="48" t="s">
        <v>168</v>
      </c>
      <c r="B171" s="48"/>
      <c r="C171" s="48"/>
      <c r="D171" s="119"/>
      <c r="E171" s="119"/>
      <c r="F171" s="119"/>
      <c r="G171" s="119"/>
      <c r="H171" s="141">
        <f t="shared" ref="H171:AM171" si="243">H170+H149</f>
        <v>235.21300000000002</v>
      </c>
      <c r="I171" s="119">
        <f t="shared" si="243"/>
        <v>-68.570999999999998</v>
      </c>
      <c r="J171" s="119">
        <f t="shared" si="243"/>
        <v>71.811000000000007</v>
      </c>
      <c r="K171" s="119">
        <f t="shared" si="243"/>
        <v>-0.17400000000000659</v>
      </c>
      <c r="L171" s="119">
        <f t="shared" si="243"/>
        <v>197.93400000000003</v>
      </c>
      <c r="M171" s="141">
        <f t="shared" si="243"/>
        <v>201</v>
      </c>
      <c r="N171" s="119">
        <f t="shared" si="243"/>
        <v>28.186000000000003</v>
      </c>
      <c r="O171" s="119">
        <f t="shared" si="243"/>
        <v>82.913999999999987</v>
      </c>
      <c r="P171" s="119">
        <f t="shared" si="243"/>
        <v>79.600000000000023</v>
      </c>
      <c r="Q171" s="119">
        <f t="shared" si="243"/>
        <v>112.79999999999995</v>
      </c>
      <c r="R171" s="141">
        <f t="shared" si="243"/>
        <v>303.5</v>
      </c>
      <c r="S171" s="119">
        <f t="shared" si="243"/>
        <v>-39.5</v>
      </c>
      <c r="T171" s="119">
        <f t="shared" si="243"/>
        <v>21.300000000000018</v>
      </c>
      <c r="U171" s="119">
        <f t="shared" si="243"/>
        <v>0.69999999999998153</v>
      </c>
      <c r="V171" s="119">
        <f t="shared" si="243"/>
        <v>138.69999999999996</v>
      </c>
      <c r="W171" s="141">
        <f t="shared" si="243"/>
        <v>121.19999999999999</v>
      </c>
      <c r="X171" s="119">
        <f t="shared" si="243"/>
        <v>-103.8</v>
      </c>
      <c r="Y171" s="119">
        <f t="shared" si="243"/>
        <v>234.49999999999994</v>
      </c>
      <c r="Z171" s="119">
        <f t="shared" si="243"/>
        <v>42.100000000000023</v>
      </c>
      <c r="AA171" s="119">
        <f t="shared" si="243"/>
        <v>203.2</v>
      </c>
      <c r="AB171" s="141">
        <f t="shared" si="243"/>
        <v>375.99999999999994</v>
      </c>
      <c r="AC171" s="119">
        <f t="shared" si="243"/>
        <v>-54.900000000000006</v>
      </c>
      <c r="AD171" s="119">
        <f t="shared" si="243"/>
        <v>179.7</v>
      </c>
      <c r="AE171" s="119">
        <f t="shared" si="243"/>
        <v>110.49999999999997</v>
      </c>
      <c r="AF171" s="119">
        <f t="shared" si="243"/>
        <v>143.00000000000006</v>
      </c>
      <c r="AG171" s="141">
        <f t="shared" si="243"/>
        <v>378.29999999999995</v>
      </c>
      <c r="AH171" s="119">
        <f t="shared" si="243"/>
        <v>-101.9</v>
      </c>
      <c r="AI171" s="119">
        <f t="shared" si="243"/>
        <v>134.19999999999999</v>
      </c>
      <c r="AJ171" s="119">
        <f t="shared" si="243"/>
        <v>67.2</v>
      </c>
      <c r="AK171" s="119">
        <f t="shared" si="243"/>
        <v>195.3</v>
      </c>
      <c r="AL171" s="141">
        <f t="shared" si="243"/>
        <v>294.8</v>
      </c>
      <c r="AM171" s="119">
        <f t="shared" si="243"/>
        <v>34.1</v>
      </c>
      <c r="AN171" s="119">
        <f t="shared" ref="AN171:BO171" si="244">AN170+AN149</f>
        <v>228.4</v>
      </c>
      <c r="AO171" s="119">
        <f t="shared" si="244"/>
        <v>36.40000000000002</v>
      </c>
      <c r="AP171" s="119">
        <f t="shared" si="244"/>
        <v>231.2999999999999</v>
      </c>
      <c r="AQ171" s="141">
        <f t="shared" si="244"/>
        <v>530.19999999999993</v>
      </c>
      <c r="AR171" s="119">
        <f t="shared" si="244"/>
        <v>220.3</v>
      </c>
      <c r="AS171" s="119">
        <f t="shared" si="244"/>
        <v>257.89999999999998</v>
      </c>
      <c r="AT171" s="119">
        <f t="shared" si="244"/>
        <v>108.49999999999997</v>
      </c>
      <c r="AU171" s="119">
        <f t="shared" si="244"/>
        <v>129</v>
      </c>
      <c r="AV171" s="141">
        <f t="shared" si="244"/>
        <v>715.7</v>
      </c>
      <c r="AW171" s="119">
        <f t="shared" si="244"/>
        <v>76.800000000000011</v>
      </c>
      <c r="AX171" s="119">
        <f t="shared" si="244"/>
        <v>256.10000000000002</v>
      </c>
      <c r="AY171" s="119">
        <f t="shared" si="244"/>
        <v>3.8999999999999702</v>
      </c>
      <c r="AZ171" s="119">
        <f t="shared" si="244"/>
        <v>157.39999999999998</v>
      </c>
      <c r="BA171" s="141">
        <f t="shared" si="244"/>
        <v>494.19999999999993</v>
      </c>
      <c r="BB171" s="119">
        <f t="shared" si="244"/>
        <v>-18.7</v>
      </c>
      <c r="BC171" s="119">
        <f t="shared" si="244"/>
        <v>458.5</v>
      </c>
      <c r="BD171" s="119">
        <f t="shared" si="244"/>
        <v>103.40000000000002</v>
      </c>
      <c r="BE171" s="119">
        <f t="shared" si="244"/>
        <v>59.500000000000057</v>
      </c>
      <c r="BF171" s="141">
        <f>BF170+BF149</f>
        <v>602.70000000000005</v>
      </c>
      <c r="BG171" s="119">
        <f t="shared" si="244"/>
        <v>100.79999999999998</v>
      </c>
      <c r="BH171" s="119">
        <f t="shared" si="244"/>
        <v>259.10000000000002</v>
      </c>
      <c r="BI171" s="119">
        <f t="shared" si="244"/>
        <v>-151.1</v>
      </c>
      <c r="BJ171" s="119">
        <f t="shared" si="244"/>
        <v>152.79999999999987</v>
      </c>
      <c r="BK171" s="141">
        <f>BK170+BK149</f>
        <v>361.6</v>
      </c>
      <c r="BL171" s="62">
        <f t="shared" si="244"/>
        <v>76</v>
      </c>
      <c r="BM171" s="119">
        <f t="shared" si="244"/>
        <v>432.30000000000007</v>
      </c>
      <c r="BN171" s="119">
        <f t="shared" si="244"/>
        <v>69.499999999999886</v>
      </c>
      <c r="BO171" s="119">
        <f t="shared" si="244"/>
        <v>-55.399999999999864</v>
      </c>
      <c r="BP171" s="141">
        <f>BP170+BP149</f>
        <v>522.40000000000009</v>
      </c>
      <c r="BQ171" s="119">
        <f>BQ170+BQ149</f>
        <v>176.49999999999997</v>
      </c>
      <c r="BR171" s="119">
        <f t="shared" ref="BR171:BT171" si="245">BR170+BR149</f>
        <v>499.80000000000007</v>
      </c>
      <c r="BS171" s="119">
        <f t="shared" si="245"/>
        <v>147.79999999999998</v>
      </c>
      <c r="BT171" s="119">
        <f t="shared" si="245"/>
        <v>-35.500000000000114</v>
      </c>
      <c r="BU171" s="141">
        <f t="shared" ref="BU171:BX171" si="246">BU170+BU149</f>
        <v>788.6</v>
      </c>
      <c r="BV171" s="577">
        <f t="shared" si="246"/>
        <v>164.50000000000003</v>
      </c>
      <c r="BW171" s="119">
        <f t="shared" si="246"/>
        <v>433.30000000000007</v>
      </c>
      <c r="BX171" s="119">
        <f t="shared" si="246"/>
        <v>164.99999999999997</v>
      </c>
      <c r="BY171" s="119">
        <f>BY170+BY149</f>
        <v>111.00000000000023</v>
      </c>
      <c r="BZ171" s="141">
        <f t="shared" ref="BZ171:CY171" si="247">BZ170+BZ149</f>
        <v>873.80000000000018</v>
      </c>
      <c r="CA171" s="119">
        <f t="shared" ca="1" si="247"/>
        <v>333.35361838398308</v>
      </c>
      <c r="CB171" s="119">
        <f t="shared" ca="1" si="247"/>
        <v>447.88259905854653</v>
      </c>
      <c r="CC171" s="119">
        <f t="shared" ca="1" si="247"/>
        <v>293.57757113702439</v>
      </c>
      <c r="CD171" s="119">
        <f t="shared" ca="1" si="247"/>
        <v>223.48688435029993</v>
      </c>
      <c r="CE171" s="141">
        <f t="shared" ca="1" si="247"/>
        <v>1298.3006729298527</v>
      </c>
      <c r="CF171" s="119">
        <f t="shared" ca="1" si="247"/>
        <v>491.76268546633861</v>
      </c>
      <c r="CG171" s="119">
        <f t="shared" ca="1" si="247"/>
        <v>580.24889506540285</v>
      </c>
      <c r="CH171" s="119">
        <f t="shared" ca="1" si="247"/>
        <v>399.39563004396695</v>
      </c>
      <c r="CI171" s="119">
        <f t="shared" ca="1" si="247"/>
        <v>316.67560965142218</v>
      </c>
      <c r="CJ171" s="141">
        <f t="shared" ca="1" si="247"/>
        <v>1788.0828202271309</v>
      </c>
      <c r="CK171" s="119">
        <f t="shared" ca="1" si="247"/>
        <v>618.90582342452103</v>
      </c>
      <c r="CL171" s="119">
        <f t="shared" ca="1" si="247"/>
        <v>739.33916937490631</v>
      </c>
      <c r="CM171" s="119">
        <f t="shared" ca="1" si="247"/>
        <v>531.88173024004561</v>
      </c>
      <c r="CN171" s="119">
        <f t="shared" ca="1" si="247"/>
        <v>439.54927095786871</v>
      </c>
      <c r="CO171" s="141">
        <f t="shared" ca="1" si="247"/>
        <v>2329.6759939973417</v>
      </c>
      <c r="CP171" s="119">
        <f t="shared" ca="1" si="247"/>
        <v>692.92476962124624</v>
      </c>
      <c r="CQ171" s="119">
        <f t="shared" ca="1" si="247"/>
        <v>856.57980005283002</v>
      </c>
      <c r="CR171" s="119">
        <f t="shared" ca="1" si="247"/>
        <v>631.16813192617428</v>
      </c>
      <c r="CS171" s="119">
        <f t="shared" ca="1" si="247"/>
        <v>526.63332977431219</v>
      </c>
      <c r="CT171" s="141">
        <f t="shared" ca="1" si="247"/>
        <v>2707.3060313745655</v>
      </c>
      <c r="CU171" s="119">
        <f t="shared" ca="1" si="247"/>
        <v>731.62667832581542</v>
      </c>
      <c r="CV171" s="119">
        <f t="shared" ca="1" si="247"/>
        <v>899.05725607816998</v>
      </c>
      <c r="CW171" s="119">
        <f t="shared" ca="1" si="247"/>
        <v>666.65372111745933</v>
      </c>
      <c r="CX171" s="119">
        <f t="shared" ca="1" si="247"/>
        <v>553.15787791108937</v>
      </c>
      <c r="CY171" s="141">
        <f t="shared" ca="1" si="247"/>
        <v>2850.4955334325327</v>
      </c>
      <c r="CZ171" s="147"/>
      <c r="DA171" s="730"/>
      <c r="DB171" s="735"/>
      <c r="DC171" s="835"/>
      <c r="DD171" s="730"/>
      <c r="DF171" s="730"/>
      <c r="DG171" s="735"/>
      <c r="DH171" s="735"/>
      <c r="DI171" s="730"/>
      <c r="DJ171" s="730"/>
      <c r="DK171" s="730"/>
      <c r="DL171" s="747"/>
      <c r="DM171" s="846"/>
      <c r="DN171" s="743"/>
      <c r="DU171" s="48"/>
      <c r="DV171" s="48"/>
      <c r="DW171" s="730"/>
      <c r="DX171" s="730"/>
      <c r="DY171" s="730"/>
      <c r="DZ171" s="730"/>
      <c r="EA171" s="730"/>
    </row>
    <row r="172" spans="1:131" x14ac:dyDescent="0.2">
      <c r="A172" s="48" t="s">
        <v>9</v>
      </c>
      <c r="B172" s="48"/>
      <c r="C172" s="48"/>
      <c r="D172" s="119"/>
      <c r="E172" s="119"/>
      <c r="F172" s="119"/>
      <c r="G172" s="119"/>
      <c r="H172" s="233">
        <f t="shared" ref="H172:AM172" si="248">H171/H58</f>
        <v>0.88247785485692432</v>
      </c>
      <c r="I172" s="139">
        <f t="shared" si="248"/>
        <v>-1.1468448428693281</v>
      </c>
      <c r="J172" s="139">
        <f t="shared" si="248"/>
        <v>0.87591481264637017</v>
      </c>
      <c r="K172" s="139">
        <f t="shared" si="248"/>
        <v>-1.754828299127695E-3</v>
      </c>
      <c r="L172" s="139">
        <f t="shared" si="248"/>
        <v>2.7040163934426231</v>
      </c>
      <c r="M172" s="234">
        <f t="shared" si="248"/>
        <v>0.63992359121298947</v>
      </c>
      <c r="N172" s="139">
        <f t="shared" si="248"/>
        <v>0.39567628272618866</v>
      </c>
      <c r="O172" s="139">
        <f t="shared" si="248"/>
        <v>0.84555216757258334</v>
      </c>
      <c r="P172" s="139">
        <f t="shared" si="248"/>
        <v>0.64401294498381811</v>
      </c>
      <c r="Q172" s="139">
        <f t="shared" si="248"/>
        <v>1.2980437284234743</v>
      </c>
      <c r="R172" s="234">
        <f t="shared" si="248"/>
        <v>0.7991047919957871</v>
      </c>
      <c r="S172" s="139">
        <f t="shared" si="248"/>
        <v>-0.52878179384203439</v>
      </c>
      <c r="T172" s="139">
        <f t="shared" si="248"/>
        <v>0.20382775119617247</v>
      </c>
      <c r="U172" s="139">
        <f t="shared" si="248"/>
        <v>5.0287356321837796E-3</v>
      </c>
      <c r="V172" s="139">
        <f t="shared" si="248"/>
        <v>1.635613207547173</v>
      </c>
      <c r="W172" s="234">
        <f t="shared" si="248"/>
        <v>0.3005207041904292</v>
      </c>
      <c r="X172" s="139">
        <f t="shared" si="248"/>
        <v>-2.1402061855670076</v>
      </c>
      <c r="Y172" s="139">
        <f t="shared" si="248"/>
        <v>3.0336351875808516</v>
      </c>
      <c r="Z172" s="139">
        <f t="shared" si="248"/>
        <v>0.34678747940691962</v>
      </c>
      <c r="AA172" s="139">
        <f t="shared" si="248"/>
        <v>2.75338753387534</v>
      </c>
      <c r="AB172" s="234">
        <f t="shared" si="248"/>
        <v>1.1713395638629287</v>
      </c>
      <c r="AC172" s="139">
        <f t="shared" si="248"/>
        <v>-0.74592391304347738</v>
      </c>
      <c r="AD172" s="139">
        <f t="shared" si="248"/>
        <v>1.8151515151515145</v>
      </c>
      <c r="AE172" s="139">
        <f t="shared" si="248"/>
        <v>0.83712121212121171</v>
      </c>
      <c r="AF172" s="139">
        <f t="shared" si="248"/>
        <v>3.0620985010706634</v>
      </c>
      <c r="AG172" s="234">
        <f t="shared" si="248"/>
        <v>1.0768573868488476</v>
      </c>
      <c r="AH172" s="139">
        <f t="shared" si="248"/>
        <v>-1.4016506189821181</v>
      </c>
      <c r="AI172" s="139">
        <f t="shared" si="248"/>
        <v>1.1183333333333327</v>
      </c>
      <c r="AJ172" s="139">
        <f t="shared" si="248"/>
        <v>0.55813953488372114</v>
      </c>
      <c r="AK172" s="139">
        <f t="shared" si="248"/>
        <v>5.6094898897058796</v>
      </c>
      <c r="AL172" s="234">
        <f t="shared" si="248"/>
        <v>0.84733096494556159</v>
      </c>
      <c r="AM172" s="139">
        <f t="shared" si="248"/>
        <v>0.41117429449243492</v>
      </c>
      <c r="AN172" s="139">
        <f t="shared" ref="AN172:BS172" si="249">AN171/AN58</f>
        <v>2.0934922089825854</v>
      </c>
      <c r="AO172" s="139">
        <f t="shared" si="249"/>
        <v>0.25724381625441711</v>
      </c>
      <c r="AP172" s="139">
        <f t="shared" si="249"/>
        <v>3.1046979865771802</v>
      </c>
      <c r="AQ172" s="234">
        <f t="shared" si="249"/>
        <v>1.2994040681003409</v>
      </c>
      <c r="AR172" s="139">
        <f t="shared" si="249"/>
        <v>2.6195005945303227</v>
      </c>
      <c r="AS172" s="139">
        <f t="shared" si="249"/>
        <v>1.5649271844660191</v>
      </c>
      <c r="AT172" s="139">
        <f t="shared" si="249"/>
        <v>1.0763888888888884</v>
      </c>
      <c r="AU172" s="139">
        <f t="shared" si="249"/>
        <v>0.93410572049239682</v>
      </c>
      <c r="AV172" s="234">
        <f t="shared" si="249"/>
        <v>1.4671996719967197</v>
      </c>
      <c r="AW172" s="139">
        <f t="shared" si="249"/>
        <v>1.0105263157894742</v>
      </c>
      <c r="AX172" s="139">
        <f t="shared" si="249"/>
        <v>1.9549618320610684</v>
      </c>
      <c r="AY172" s="139">
        <f t="shared" si="249"/>
        <v>3.2883642495783905E-2</v>
      </c>
      <c r="AZ172" s="139">
        <f t="shared" si="249"/>
        <v>1.7430786267995571</v>
      </c>
      <c r="BA172" s="234">
        <f t="shared" si="249"/>
        <v>1.1882664101947582</v>
      </c>
      <c r="BB172" s="139">
        <f t="shared" si="249"/>
        <v>-0.25373134328358221</v>
      </c>
      <c r="BC172" s="139">
        <f t="shared" si="249"/>
        <v>2.4297827239003711</v>
      </c>
      <c r="BD172" s="139">
        <f t="shared" si="249"/>
        <v>0.47605893186003695</v>
      </c>
      <c r="BE172" s="139">
        <f t="shared" si="249"/>
        <v>0.36705737199259719</v>
      </c>
      <c r="BF172" s="234">
        <f t="shared" si="249"/>
        <v>0.93922393641888702</v>
      </c>
      <c r="BG172" s="139">
        <f t="shared" si="249"/>
        <v>0.46840148698884743</v>
      </c>
      <c r="BH172" s="139">
        <f t="shared" si="249"/>
        <v>1.1671171171171184</v>
      </c>
      <c r="BI172" s="139">
        <f t="shared" si="249"/>
        <v>-0.60853805879983869</v>
      </c>
      <c r="BJ172" s="139">
        <f t="shared" si="249"/>
        <v>0.73638554216867402</v>
      </c>
      <c r="BK172" s="234">
        <f t="shared" si="249"/>
        <v>0.40492721164613665</v>
      </c>
      <c r="BL172" s="385">
        <f t="shared" si="249"/>
        <v>0.29641185647425905</v>
      </c>
      <c r="BM172" s="139">
        <f t="shared" si="249"/>
        <v>1.3611460957178836</v>
      </c>
      <c r="BN172" s="139">
        <f t="shared" si="249"/>
        <v>0.24040124524385983</v>
      </c>
      <c r="BO172" s="139">
        <f t="shared" si="249"/>
        <v>-0.22760887428101828</v>
      </c>
      <c r="BP172" s="234">
        <f>BP171/BP58</f>
        <v>0.47211929507455969</v>
      </c>
      <c r="BQ172" s="139">
        <f t="shared" si="249"/>
        <v>0.55678233438485802</v>
      </c>
      <c r="BR172" s="139">
        <f t="shared" si="249"/>
        <v>1.3715697036223931</v>
      </c>
      <c r="BS172" s="139">
        <f t="shared" si="249"/>
        <v>0.36647656831143072</v>
      </c>
      <c r="BT172" s="139">
        <f t="shared" ref="BT172:BX172" si="250">BT171/BT58</f>
        <v>-0.11993243243243278</v>
      </c>
      <c r="BU172" s="234">
        <f>BU171/BU58</f>
        <v>0.5711595567465777</v>
      </c>
      <c r="BV172" s="139">
        <f t="shared" si="250"/>
        <v>0.34962805526036145</v>
      </c>
      <c r="BW172" s="139">
        <f t="shared" si="250"/>
        <v>0.87165560249446761</v>
      </c>
      <c r="BX172" s="139">
        <f t="shared" si="250"/>
        <v>0.40983606557377045</v>
      </c>
      <c r="BY172" s="139">
        <f t="shared" ref="BY172:CY172" si="251">BY171/BY58</f>
        <v>0.29256721138640007</v>
      </c>
      <c r="BZ172" s="234">
        <f t="shared" si="251"/>
        <v>0.49942844078646553</v>
      </c>
      <c r="CA172" s="139">
        <f t="shared" ca="1" si="251"/>
        <v>0.67435481695626542</v>
      </c>
      <c r="CB172" s="139">
        <f t="shared" ca="1" si="251"/>
        <v>0.80170379265820857</v>
      </c>
      <c r="CC172" s="139">
        <f t="shared" ca="1" si="251"/>
        <v>0.63434946296953743</v>
      </c>
      <c r="CD172" s="139">
        <f t="shared" ca="1" si="251"/>
        <v>0.54297737633487653</v>
      </c>
      <c r="CE172" s="234">
        <f t="shared" ca="1" si="251"/>
        <v>0.67360581115002438</v>
      </c>
      <c r="CF172" s="139">
        <f t="shared" ca="1" si="251"/>
        <v>0.90240757355957524</v>
      </c>
      <c r="CG172" s="139">
        <f t="shared" ca="1" si="251"/>
        <v>0.94365347059887394</v>
      </c>
      <c r="CH172" s="139">
        <f t="shared" ca="1" si="251"/>
        <v>0.78829590359452839</v>
      </c>
      <c r="CI172" s="139">
        <f t="shared" ca="1" si="251"/>
        <v>0.70259048373295108</v>
      </c>
      <c r="CJ172" s="234">
        <f t="shared" ca="1" si="251"/>
        <v>0.84454112664506242</v>
      </c>
      <c r="CK172" s="139">
        <f t="shared" ca="1" si="251"/>
        <v>1.0578791548242181</v>
      </c>
      <c r="CL172" s="139">
        <f t="shared" ca="1" si="251"/>
        <v>1.1189625008775657</v>
      </c>
      <c r="CM172" s="139">
        <f t="shared" ca="1" si="251"/>
        <v>0.97960500859014843</v>
      </c>
      <c r="CN172" s="139">
        <f t="shared" ca="1" si="251"/>
        <v>0.90550399761273648</v>
      </c>
      <c r="CO172" s="234">
        <f t="shared" ca="1" si="251"/>
        <v>1.024413870860494</v>
      </c>
      <c r="CP172" s="139">
        <f t="shared" ca="1" si="251"/>
        <v>1.1044991991677668</v>
      </c>
      <c r="CQ172" s="139">
        <f t="shared" ca="1" si="251"/>
        <v>1.2093050511148635</v>
      </c>
      <c r="CR172" s="139">
        <f t="shared" ca="1" si="251"/>
        <v>1.0860666029334167</v>
      </c>
      <c r="CS172" s="139">
        <f t="shared" ca="1" si="251"/>
        <v>1.0093080586109482</v>
      </c>
      <c r="CT172" s="234">
        <f t="shared" ca="1" si="251"/>
        <v>1.1101810593485457</v>
      </c>
      <c r="CU172" s="139">
        <f t="shared" ca="1" si="251"/>
        <v>1.0933794916584321</v>
      </c>
      <c r="CV172" s="139">
        <f t="shared" ca="1" si="251"/>
        <v>1.1913240023310196</v>
      </c>
      <c r="CW172" s="139">
        <f t="shared" ca="1" si="251"/>
        <v>1.0783077103675665</v>
      </c>
      <c r="CX172" s="139">
        <f t="shared" ca="1" si="251"/>
        <v>0.99374455079889668</v>
      </c>
      <c r="CY172" s="234">
        <f t="shared" ca="1" si="251"/>
        <v>1.096895517338168</v>
      </c>
      <c r="CZ172" s="235"/>
      <c r="DA172" s="730"/>
      <c r="DB172" s="735"/>
      <c r="DC172" s="847"/>
      <c r="DD172" s="730"/>
      <c r="DF172" s="730"/>
      <c r="DG172" s="735"/>
      <c r="DH172" s="735"/>
      <c r="DI172" s="730"/>
      <c r="DJ172" s="730"/>
      <c r="DK172" s="730"/>
      <c r="DL172" s="747"/>
      <c r="DM172" s="846"/>
      <c r="DN172" s="743"/>
      <c r="DU172" s="48"/>
      <c r="DV172" s="48"/>
      <c r="DW172" s="730"/>
      <c r="DX172" s="730"/>
      <c r="DY172" s="730"/>
      <c r="DZ172" s="730"/>
      <c r="EA172" s="730"/>
    </row>
    <row r="173" spans="1:131" x14ac:dyDescent="0.2">
      <c r="A173" s="48" t="s">
        <v>169</v>
      </c>
      <c r="B173" s="48"/>
      <c r="C173" s="48"/>
      <c r="D173" s="236"/>
      <c r="E173" s="236"/>
      <c r="F173" s="236"/>
      <c r="G173" s="236"/>
      <c r="H173" s="237">
        <f t="shared" ref="H173:AM173" si="252">H171/H78</f>
        <v>1.0996605827130943</v>
      </c>
      <c r="I173" s="236">
        <f t="shared" si="252"/>
        <v>-0.29797543053062925</v>
      </c>
      <c r="J173" s="236">
        <f t="shared" si="252"/>
        <v>0.3091397502292364</v>
      </c>
      <c r="K173" s="236">
        <f t="shared" si="252"/>
        <v>-7.4533522951187648E-4</v>
      </c>
      <c r="L173" s="236">
        <f t="shared" si="252"/>
        <v>0.83806063993293289</v>
      </c>
      <c r="M173" s="237">
        <f t="shared" si="252"/>
        <v>0.86243885694670896</v>
      </c>
      <c r="N173" s="236">
        <f t="shared" si="252"/>
        <v>0.11835199072868817</v>
      </c>
      <c r="O173" s="236">
        <f t="shared" si="252"/>
        <v>0.3468174726336527</v>
      </c>
      <c r="P173" s="236">
        <f t="shared" si="252"/>
        <v>0.33363651224102314</v>
      </c>
      <c r="Q173" s="236">
        <f t="shared" si="252"/>
        <v>0.47084752554598258</v>
      </c>
      <c r="R173" s="237">
        <f t="shared" si="252"/>
        <v>1.2714331795883658</v>
      </c>
      <c r="S173" s="236">
        <f t="shared" si="252"/>
        <v>-0.16451478550603915</v>
      </c>
      <c r="T173" s="236">
        <f t="shared" si="252"/>
        <v>8.8632561855541483E-2</v>
      </c>
      <c r="U173" s="236">
        <f t="shared" si="252"/>
        <v>2.9240254640845358E-3</v>
      </c>
      <c r="V173" s="236">
        <f t="shared" si="252"/>
        <v>0.57896362589015116</v>
      </c>
      <c r="W173" s="237">
        <f t="shared" si="252"/>
        <v>0.50548020619588607</v>
      </c>
      <c r="X173" s="236">
        <f t="shared" si="252"/>
        <v>-0.44465577731227429</v>
      </c>
      <c r="Y173" s="236">
        <f t="shared" si="252"/>
        <v>1.0693114455084356</v>
      </c>
      <c r="Z173" s="236">
        <f t="shared" si="252"/>
        <v>0.19185898137008287</v>
      </c>
      <c r="AA173" s="236">
        <f t="shared" si="252"/>
        <v>0.92701152833726419</v>
      </c>
      <c r="AB173" s="237">
        <f t="shared" si="252"/>
        <v>1.686665919031064</v>
      </c>
      <c r="AC173" s="236">
        <f t="shared" si="252"/>
        <v>-0.25047220169171391</v>
      </c>
      <c r="AD173" s="236">
        <f t="shared" si="252"/>
        <v>0.81550965950089171</v>
      </c>
      <c r="AE173" s="236">
        <f t="shared" si="252"/>
        <v>0.50225902929920085</v>
      </c>
      <c r="AF173" s="236">
        <f t="shared" si="252"/>
        <v>0.65044348419376874</v>
      </c>
      <c r="AG173" s="237">
        <f t="shared" si="252"/>
        <v>1.7200927567862498</v>
      </c>
      <c r="AH173" s="236">
        <f t="shared" si="252"/>
        <v>-0.46356109544172508</v>
      </c>
      <c r="AI173" s="236">
        <f t="shared" si="252"/>
        <v>0.60802667705718705</v>
      </c>
      <c r="AJ173" s="236">
        <f t="shared" si="252"/>
        <v>0.30242343781643077</v>
      </c>
      <c r="AK173" s="236">
        <f t="shared" si="252"/>
        <v>0.87738213968031487</v>
      </c>
      <c r="AL173" s="237">
        <f t="shared" si="252"/>
        <v>1.331928212322369</v>
      </c>
      <c r="AM173" s="236">
        <f t="shared" si="252"/>
        <v>0.15581021310816245</v>
      </c>
      <c r="AN173" s="236">
        <f t="shared" ref="AN173:BS173" si="253">AN171/AN78</f>
        <v>1.0817006000502016</v>
      </c>
      <c r="AO173" s="236">
        <f t="shared" si="253"/>
        <v>0.17080381023884386</v>
      </c>
      <c r="AP173" s="236">
        <f t="shared" si="253"/>
        <v>1.0890548341227759</v>
      </c>
      <c r="AQ173" s="237">
        <f t="shared" si="253"/>
        <v>2.4802937805534113</v>
      </c>
      <c r="AR173" s="236">
        <f t="shared" si="253"/>
        <v>1.0250611872656041</v>
      </c>
      <c r="AS173" s="236">
        <f t="shared" si="253"/>
        <v>1.2071426899763624</v>
      </c>
      <c r="AT173" s="236">
        <f t="shared" si="253"/>
        <v>0.53465922250200792</v>
      </c>
      <c r="AU173" s="236">
        <f t="shared" si="253"/>
        <v>0.64190920716748856</v>
      </c>
      <c r="AV173" s="237">
        <f t="shared" si="253"/>
        <v>3.4300639812130074</v>
      </c>
      <c r="AW173" s="236">
        <f t="shared" si="253"/>
        <v>0.40365603040034487</v>
      </c>
      <c r="AX173" s="236">
        <f t="shared" si="253"/>
        <v>1.3870233968804162</v>
      </c>
      <c r="AY173" s="236">
        <f t="shared" si="253"/>
        <v>2.0559210526315631E-2</v>
      </c>
      <c r="AZ173" s="236">
        <f t="shared" si="253"/>
        <v>0.82026588288020663</v>
      </c>
      <c r="BA173" s="237">
        <f t="shared" si="253"/>
        <v>2.596856657926403</v>
      </c>
      <c r="BB173" s="236">
        <f t="shared" si="253"/>
        <v>-9.5954516532911885E-2</v>
      </c>
      <c r="BC173" s="236">
        <f t="shared" si="253"/>
        <v>2.3301671520122786</v>
      </c>
      <c r="BD173" s="236">
        <f t="shared" si="253"/>
        <v>0.52200603790349465</v>
      </c>
      <c r="BE173" s="236">
        <f t="shared" si="253"/>
        <v>0.298753269967514</v>
      </c>
      <c r="BF173" s="237">
        <f t="shared" si="253"/>
        <v>3.0505643569367824</v>
      </c>
      <c r="BG173" s="236">
        <f t="shared" si="253"/>
        <v>0.50309945198095396</v>
      </c>
      <c r="BH173" s="236">
        <f t="shared" si="253"/>
        <v>1.2903386454183268</v>
      </c>
      <c r="BI173" s="236">
        <f t="shared" si="253"/>
        <v>-0.75071046721914181</v>
      </c>
      <c r="BJ173" s="236">
        <f t="shared" si="253"/>
        <v>0.75566501488580895</v>
      </c>
      <c r="BK173" s="237">
        <f t="shared" si="253"/>
        <v>1.7975740703917282</v>
      </c>
      <c r="BL173" s="534">
        <f t="shared" si="253"/>
        <v>0.37465184491385473</v>
      </c>
      <c r="BM173" s="236">
        <f t="shared" si="253"/>
        <v>2.1284033282457782</v>
      </c>
      <c r="BN173" s="236">
        <f t="shared" si="253"/>
        <v>0.3405260269677009</v>
      </c>
      <c r="BO173" s="236">
        <f t="shared" si="253"/>
        <v>-0.26999234859228649</v>
      </c>
      <c r="BP173" s="237">
        <f>BP171/BP78</f>
        <v>2.5631338530908239</v>
      </c>
      <c r="BQ173" s="236">
        <f t="shared" si="253"/>
        <v>0.8594349573050728</v>
      </c>
      <c r="BR173" s="236">
        <f t="shared" si="253"/>
        <v>2.4302849093311178</v>
      </c>
      <c r="BS173" s="236">
        <f t="shared" si="253"/>
        <v>0.719377223748073</v>
      </c>
      <c r="BT173" s="236">
        <f t="shared" ref="BT173:BX173" si="254">BT171/BT78</f>
        <v>-0.17761722737006483</v>
      </c>
      <c r="BU173" s="237">
        <f>BU171/BU78</f>
        <v>3.8638111896677594</v>
      </c>
      <c r="BV173" s="236">
        <f t="shared" si="254"/>
        <v>0.8182858279858729</v>
      </c>
      <c r="BW173" s="236">
        <f t="shared" si="254"/>
        <v>2.1520169260874318</v>
      </c>
      <c r="BX173" s="236">
        <f t="shared" si="254"/>
        <v>0.82017328024575364</v>
      </c>
      <c r="BY173" s="236">
        <f t="shared" ref="BY173:CY173" si="255">BY171/BY78</f>
        <v>0.55640771151012169</v>
      </c>
      <c r="BZ173" s="237">
        <f t="shared" si="255"/>
        <v>4.3524227100032755</v>
      </c>
      <c r="CA173" s="236">
        <f t="shared" ca="1" si="255"/>
        <v>1.6903583275580023</v>
      </c>
      <c r="CB173" s="236">
        <f t="shared" ca="1" si="255"/>
        <v>2.282543761619336</v>
      </c>
      <c r="CC173" s="236">
        <f t="shared" ca="1" si="255"/>
        <v>1.5046318920916524</v>
      </c>
      <c r="CD173" s="236">
        <f t="shared" ca="1" si="255"/>
        <v>1.1507054080769807</v>
      </c>
      <c r="CE173" s="237">
        <f t="shared" ca="1" si="255"/>
        <v>6.6344523488266427</v>
      </c>
      <c r="CF173" s="236">
        <f t="shared" ca="1" si="255"/>
        <v>2.5461813382388572</v>
      </c>
      <c r="CG173" s="236">
        <f t="shared" ca="1" si="255"/>
        <v>3.029155801404197</v>
      </c>
      <c r="CH173" s="236">
        <f t="shared" ca="1" si="255"/>
        <v>2.1035577922002258</v>
      </c>
      <c r="CI173" s="236">
        <f t="shared" ca="1" si="255"/>
        <v>1.6808989506401575</v>
      </c>
      <c r="CJ173" s="237">
        <f t="shared" ca="1" si="255"/>
        <v>9.3745089858942396</v>
      </c>
      <c r="CK173" s="236">
        <f t="shared" ca="1" si="255"/>
        <v>3.3076965956891247</v>
      </c>
      <c r="CL173" s="236">
        <f t="shared" ca="1" si="255"/>
        <v>3.9817726000258671</v>
      </c>
      <c r="CM173" s="236">
        <f t="shared" ca="1" si="255"/>
        <v>2.8884205088045851</v>
      </c>
      <c r="CN173" s="236">
        <f t="shared" ca="1" si="255"/>
        <v>2.404280592600224</v>
      </c>
      <c r="CO173" s="237">
        <f t="shared" ca="1" si="255"/>
        <v>12.597031704956441</v>
      </c>
      <c r="CP173" s="236">
        <f t="shared" ca="1" si="255"/>
        <v>3.8140339396777607</v>
      </c>
      <c r="CQ173" s="236">
        <f t="shared" ca="1" si="255"/>
        <v>4.7485173755385119</v>
      </c>
      <c r="CR173" s="236">
        <f t="shared" ca="1" si="255"/>
        <v>3.5262933454324807</v>
      </c>
      <c r="CS173" s="236">
        <f t="shared" ca="1" si="255"/>
        <v>2.9619177326244839</v>
      </c>
      <c r="CT173" s="237">
        <f t="shared" ca="1" si="255"/>
        <v>15.064500932639042</v>
      </c>
      <c r="CU173" s="236">
        <f t="shared" ca="1" si="255"/>
        <v>4.1383313677318263</v>
      </c>
      <c r="CV173" s="236">
        <f t="shared" ca="1" si="255"/>
        <v>5.1189161411476469</v>
      </c>
      <c r="CW173" s="236">
        <f t="shared" ca="1" si="255"/>
        <v>3.8233809668371803</v>
      </c>
      <c r="CX173" s="236">
        <f t="shared" ca="1" si="255"/>
        <v>3.1919085297704783</v>
      </c>
      <c r="CY173" s="237">
        <f t="shared" ca="1" si="255"/>
        <v>16.286466457482309</v>
      </c>
      <c r="CZ173" s="235"/>
      <c r="DA173" s="730"/>
      <c r="DB173" s="746"/>
      <c r="DC173" s="848"/>
      <c r="DD173" s="730"/>
      <c r="DF173" s="730"/>
      <c r="DG173" s="746"/>
      <c r="DH173" s="746"/>
      <c r="DI173" s="730"/>
      <c r="DJ173" s="730"/>
      <c r="DK173" s="730"/>
      <c r="DL173" s="747"/>
      <c r="DM173" s="846"/>
      <c r="DN173" s="747"/>
      <c r="DU173" s="48"/>
      <c r="DV173" s="48"/>
      <c r="DW173" s="730"/>
      <c r="DX173" s="730"/>
      <c r="DY173" s="730"/>
      <c r="DZ173" s="730"/>
      <c r="EA173" s="730"/>
    </row>
    <row r="174" spans="1:131" x14ac:dyDescent="0.2">
      <c r="A174" s="48"/>
      <c r="B174" s="48" t="s">
        <v>59</v>
      </c>
      <c r="C174" s="48"/>
      <c r="D174" s="238"/>
      <c r="E174" s="238"/>
      <c r="F174" s="238"/>
      <c r="G174" s="238"/>
      <c r="H174" s="234"/>
      <c r="I174" s="238"/>
      <c r="J174" s="238"/>
      <c r="K174" s="238"/>
      <c r="L174" s="238"/>
      <c r="M174" s="234">
        <f t="shared" ref="M174:AR174" si="256">M173/H173-1</f>
        <v>-0.21572267797497058</v>
      </c>
      <c r="N174" s="139">
        <f t="shared" si="256"/>
        <v>-1.3971870785384186</v>
      </c>
      <c r="O174" s="139">
        <f t="shared" si="256"/>
        <v>0.1218792548563461</v>
      </c>
      <c r="P174" s="139">
        <f t="shared" si="256"/>
        <v>-448.63282215912864</v>
      </c>
      <c r="Q174" s="139">
        <f t="shared" si="256"/>
        <v>-0.43817009997789313</v>
      </c>
      <c r="R174" s="234">
        <f t="shared" si="256"/>
        <v>0.47422993450181372</v>
      </c>
      <c r="S174" s="139">
        <f t="shared" si="256"/>
        <v>-2.3900466269568312</v>
      </c>
      <c r="T174" s="139">
        <f t="shared" si="256"/>
        <v>-0.74444032135265259</v>
      </c>
      <c r="U174" s="139">
        <f t="shared" si="256"/>
        <v>-0.99123589488319497</v>
      </c>
      <c r="V174" s="139">
        <f t="shared" si="256"/>
        <v>0.22962019439053005</v>
      </c>
      <c r="W174" s="234">
        <f t="shared" si="256"/>
        <v>-0.60243273943854581</v>
      </c>
      <c r="X174" s="139">
        <f t="shared" si="256"/>
        <v>1.7028316995614445</v>
      </c>
      <c r="Y174" s="139">
        <f t="shared" si="256"/>
        <v>11.064544035760376</v>
      </c>
      <c r="Z174" s="139">
        <f t="shared" si="256"/>
        <v>64.614675291533672</v>
      </c>
      <c r="AA174" s="139">
        <f t="shared" si="256"/>
        <v>0.60115676854827038</v>
      </c>
      <c r="AB174" s="234">
        <f t="shared" si="256"/>
        <v>2.3367595770455138</v>
      </c>
      <c r="AC174" s="139">
        <f t="shared" si="256"/>
        <v>-0.43670539218967241</v>
      </c>
      <c r="AD174" s="139">
        <f t="shared" si="256"/>
        <v>-0.23735066810854755</v>
      </c>
      <c r="AE174" s="139">
        <f t="shared" si="256"/>
        <v>1.6178551856812868</v>
      </c>
      <c r="AF174" s="139">
        <f t="shared" si="256"/>
        <v>-0.29834369443016762</v>
      </c>
      <c r="AG174" s="234">
        <f t="shared" si="256"/>
        <v>1.9818292038762841E-2</v>
      </c>
      <c r="AH174" s="139">
        <f t="shared" si="256"/>
        <v>0.8507486751455362</v>
      </c>
      <c r="AI174" s="139">
        <f t="shared" si="256"/>
        <v>-0.25442124446531811</v>
      </c>
      <c r="AJ174" s="139">
        <f t="shared" si="256"/>
        <v>-0.3978735668756409</v>
      </c>
      <c r="AK174" s="139">
        <f t="shared" si="256"/>
        <v>0.34889834551550458</v>
      </c>
      <c r="AL174" s="234">
        <f t="shared" si="256"/>
        <v>-0.22566489099640852</v>
      </c>
      <c r="AM174" s="139">
        <f t="shared" si="256"/>
        <v>-1.3361158100631627</v>
      </c>
      <c r="AN174" s="139">
        <f t="shared" si="256"/>
        <v>0.77903477078599281</v>
      </c>
      <c r="AO174" s="139">
        <f t="shared" si="256"/>
        <v>-0.43521635931365621</v>
      </c>
      <c r="AP174" s="139">
        <f t="shared" si="256"/>
        <v>0.24125484765348282</v>
      </c>
      <c r="AQ174" s="234">
        <f t="shared" si="256"/>
        <v>0.86218277952738598</v>
      </c>
      <c r="AR174" s="139">
        <f t="shared" si="256"/>
        <v>5.5789088328504706</v>
      </c>
      <c r="AS174" s="139">
        <f t="shared" ref="AS174:BX174" si="257">AS173/AN173-1</f>
        <v>0.11596747743353286</v>
      </c>
      <c r="AT174" s="139">
        <f t="shared" si="257"/>
        <v>2.1302534864671117</v>
      </c>
      <c r="AU174" s="139">
        <f t="shared" si="257"/>
        <v>-0.41058137106150328</v>
      </c>
      <c r="AV174" s="234">
        <f t="shared" si="257"/>
        <v>0.38292649367031029</v>
      </c>
      <c r="AW174" s="139">
        <f t="shared" si="257"/>
        <v>-0.60621274572192596</v>
      </c>
      <c r="AX174" s="139">
        <f t="shared" si="257"/>
        <v>0.14901362398804419</v>
      </c>
      <c r="AY174" s="139">
        <f t="shared" si="257"/>
        <v>-0.96154707585496024</v>
      </c>
      <c r="AZ174" s="139">
        <f t="shared" si="257"/>
        <v>0.27785343117251915</v>
      </c>
      <c r="BA174" s="234">
        <f t="shared" si="257"/>
        <v>-0.24291305580601708</v>
      </c>
      <c r="BB174" s="139">
        <f t="shared" si="257"/>
        <v>-1.2377135712248482</v>
      </c>
      <c r="BC174" s="139">
        <f t="shared" si="257"/>
        <v>0.6799768174445413</v>
      </c>
      <c r="BD174" s="139">
        <f t="shared" si="257"/>
        <v>24.390373683626176</v>
      </c>
      <c r="BE174" s="139">
        <f t="shared" si="257"/>
        <v>-0.63578483976622424</v>
      </c>
      <c r="BF174" s="234">
        <f t="shared" si="257"/>
        <v>0.1747141867170543</v>
      </c>
      <c r="BG174" s="139">
        <f t="shared" si="257"/>
        <v>-6.2431034010618305</v>
      </c>
      <c r="BH174" s="139">
        <f t="shared" si="257"/>
        <v>-0.44624631571858697</v>
      </c>
      <c r="BI174" s="139">
        <f t="shared" si="257"/>
        <v>-2.438126022898472</v>
      </c>
      <c r="BJ174" s="139">
        <f t="shared" si="257"/>
        <v>1.5293949584818898</v>
      </c>
      <c r="BK174" s="234">
        <f t="shared" si="257"/>
        <v>-0.41074048600084012</v>
      </c>
      <c r="BL174" s="385">
        <f t="shared" si="257"/>
        <v>-0.2553125561185503</v>
      </c>
      <c r="BM174" s="139">
        <f t="shared" si="257"/>
        <v>0.64949204288596007</v>
      </c>
      <c r="BN174" s="139">
        <f t="shared" si="257"/>
        <v>-1.4536050073060951</v>
      </c>
      <c r="BO174" s="139">
        <f t="shared" si="257"/>
        <v>-1.3572910526142141</v>
      </c>
      <c r="BP174" s="234">
        <f>BP173/BK173-1</f>
        <v>0.4258849720347071</v>
      </c>
      <c r="BQ174" s="139">
        <f t="shared" si="257"/>
        <v>1.2939562929489545</v>
      </c>
      <c r="BR174" s="139">
        <f t="shared" si="257"/>
        <v>0.14183476274402818</v>
      </c>
      <c r="BS174" s="139">
        <f t="shared" si="257"/>
        <v>1.1125469619868626</v>
      </c>
      <c r="BT174" s="139">
        <f t="shared" si="257"/>
        <v>-0.34213977434492659</v>
      </c>
      <c r="BU174" s="234">
        <f>BU173/BP173-1</f>
        <v>0.50745587672234871</v>
      </c>
      <c r="BV174" s="139">
        <f t="shared" si="257"/>
        <v>-4.7879282742036788E-2</v>
      </c>
      <c r="BW174" s="139">
        <f t="shared" si="257"/>
        <v>-0.11450014859380131</v>
      </c>
      <c r="BX174" s="139">
        <f t="shared" si="257"/>
        <v>0.14011571838835368</v>
      </c>
      <c r="BY174" s="139">
        <f t="shared" ref="BY174:CY174" si="258">BY173/BT173-1</f>
        <v>-4.1326224361719621</v>
      </c>
      <c r="BZ174" s="234">
        <f t="shared" si="258"/>
        <v>0.12645843607527074</v>
      </c>
      <c r="CA174" s="139">
        <f t="shared" ca="1" si="258"/>
        <v>1.0657309093555329</v>
      </c>
      <c r="CB174" s="139">
        <f t="shared" ca="1" si="258"/>
        <v>6.0653256928240973E-2</v>
      </c>
      <c r="CC174" s="139">
        <f t="shared" ca="1" si="258"/>
        <v>0.83452927366862051</v>
      </c>
      <c r="CD174" s="139">
        <f t="shared" ca="1" si="258"/>
        <v>1.0680975196298084</v>
      </c>
      <c r="CE174" s="234">
        <f t="shared" ca="1" si="258"/>
        <v>0.5243125015358745</v>
      </c>
      <c r="CF174" s="139">
        <f t="shared" ca="1" si="258"/>
        <v>0.50629679916283221</v>
      </c>
      <c r="CG174" s="139">
        <f t="shared" ca="1" si="258"/>
        <v>0.32709648434305683</v>
      </c>
      <c r="CH174" s="139">
        <f t="shared" ca="1" si="258"/>
        <v>0.39805476891492786</v>
      </c>
      <c r="CI174" s="139">
        <f t="shared" ca="1" si="258"/>
        <v>0.46075523660675066</v>
      </c>
      <c r="CJ174" s="234">
        <f t="shared" ca="1" si="258"/>
        <v>0.41300419281060896</v>
      </c>
      <c r="CK174" s="139">
        <f t="shared" ca="1" si="258"/>
        <v>0.29908131287184458</v>
      </c>
      <c r="CL174" s="139">
        <f t="shared" ca="1" si="258"/>
        <v>0.31448260210982704</v>
      </c>
      <c r="CM174" s="139">
        <f t="shared" ca="1" si="258"/>
        <v>0.37311202930318754</v>
      </c>
      <c r="CN174" s="139">
        <f t="shared" ca="1" si="258"/>
        <v>0.43035403269457229</v>
      </c>
      <c r="CO174" s="234">
        <f t="shared" ca="1" si="258"/>
        <v>0.34375376074748121</v>
      </c>
      <c r="CP174" s="139">
        <f t="shared" ca="1" si="258"/>
        <v>0.15307853345694955</v>
      </c>
      <c r="CQ174" s="139">
        <f t="shared" ca="1" si="258"/>
        <v>0.19256367767151339</v>
      </c>
      <c r="CR174" s="139">
        <f t="shared" ca="1" si="258"/>
        <v>0.22083794055730777</v>
      </c>
      <c r="CS174" s="139">
        <f t="shared" ca="1" si="258"/>
        <v>0.23193513342017069</v>
      </c>
      <c r="CT174" s="234">
        <f t="shared" ca="1" si="258"/>
        <v>0.19587703559654845</v>
      </c>
      <c r="CU174" s="139">
        <f t="shared" ca="1" si="258"/>
        <v>8.5027410134023373E-2</v>
      </c>
      <c r="CV174" s="139">
        <f t="shared" ca="1" si="258"/>
        <v>7.8003034698199691E-2</v>
      </c>
      <c r="CW174" s="139">
        <f t="shared" ca="1" si="258"/>
        <v>8.4249264681711677E-2</v>
      </c>
      <c r="CX174" s="139">
        <f t="shared" ca="1" si="258"/>
        <v>7.7649286005727403E-2</v>
      </c>
      <c r="CY174" s="234">
        <f t="shared" ca="1" si="258"/>
        <v>8.1115566344168277E-2</v>
      </c>
      <c r="CZ174" s="239"/>
      <c r="DA174" s="718"/>
      <c r="DB174" s="736"/>
      <c r="DC174" s="847"/>
      <c r="DD174" s="730"/>
      <c r="DF174" s="730"/>
      <c r="DG174" s="736"/>
      <c r="DH174" s="736"/>
      <c r="DI174" s="730"/>
      <c r="DJ174" s="730"/>
      <c r="DK174" s="730"/>
      <c r="DL174" s="747"/>
      <c r="DM174" s="849"/>
      <c r="DN174" s="747"/>
      <c r="DU174" s="48"/>
      <c r="DV174" s="48"/>
      <c r="DW174" s="730"/>
      <c r="DX174" s="730"/>
      <c r="DY174" s="730"/>
      <c r="DZ174" s="730"/>
      <c r="EA174" s="730"/>
    </row>
    <row r="175" spans="1:131" x14ac:dyDescent="0.2">
      <c r="A175" s="48" t="s">
        <v>170</v>
      </c>
      <c r="B175" s="48"/>
      <c r="C175" s="48"/>
      <c r="D175" s="119"/>
      <c r="E175" s="119"/>
      <c r="F175" s="119"/>
      <c r="G175" s="119"/>
      <c r="H175" s="141">
        <f t="shared" ref="H175:AM175" si="259">-H160-H157</f>
        <v>-426.08600000000001</v>
      </c>
      <c r="I175" s="119">
        <f t="shared" si="259"/>
        <v>0</v>
      </c>
      <c r="J175" s="119">
        <f t="shared" si="259"/>
        <v>0</v>
      </c>
      <c r="K175" s="119">
        <f t="shared" si="259"/>
        <v>0</v>
      </c>
      <c r="L175" s="119">
        <f t="shared" si="259"/>
        <v>0</v>
      </c>
      <c r="M175" s="141">
        <f t="shared" si="259"/>
        <v>0</v>
      </c>
      <c r="N175" s="119">
        <f t="shared" si="259"/>
        <v>0</v>
      </c>
      <c r="O175" s="119">
        <f t="shared" si="259"/>
        <v>0</v>
      </c>
      <c r="P175" s="119">
        <f t="shared" si="259"/>
        <v>0</v>
      </c>
      <c r="Q175" s="119">
        <f t="shared" si="259"/>
        <v>0</v>
      </c>
      <c r="R175" s="141">
        <f t="shared" si="259"/>
        <v>0</v>
      </c>
      <c r="S175" s="119">
        <f t="shared" si="259"/>
        <v>0</v>
      </c>
      <c r="T175" s="119">
        <f t="shared" si="259"/>
        <v>82</v>
      </c>
      <c r="U175" s="119">
        <f t="shared" si="259"/>
        <v>18</v>
      </c>
      <c r="V175" s="119">
        <f t="shared" si="259"/>
        <v>0</v>
      </c>
      <c r="W175" s="141">
        <f t="shared" si="259"/>
        <v>100</v>
      </c>
      <c r="X175" s="119">
        <f t="shared" si="259"/>
        <v>500</v>
      </c>
      <c r="Y175" s="119">
        <f t="shared" si="259"/>
        <v>0</v>
      </c>
      <c r="Z175" s="119">
        <f t="shared" si="259"/>
        <v>0</v>
      </c>
      <c r="AA175" s="119">
        <f t="shared" si="259"/>
        <v>0</v>
      </c>
      <c r="AB175" s="141">
        <f t="shared" si="259"/>
        <v>500</v>
      </c>
      <c r="AC175" s="119">
        <f t="shared" si="259"/>
        <v>0</v>
      </c>
      <c r="AD175" s="119">
        <f t="shared" si="259"/>
        <v>0</v>
      </c>
      <c r="AE175" s="119">
        <f t="shared" si="259"/>
        <v>0</v>
      </c>
      <c r="AF175" s="119">
        <f t="shared" si="259"/>
        <v>0</v>
      </c>
      <c r="AG175" s="141">
        <f t="shared" si="259"/>
        <v>0</v>
      </c>
      <c r="AH175" s="119">
        <f t="shared" si="259"/>
        <v>0</v>
      </c>
      <c r="AI175" s="119">
        <f t="shared" si="259"/>
        <v>0</v>
      </c>
      <c r="AJ175" s="119">
        <f t="shared" si="259"/>
        <v>0</v>
      </c>
      <c r="AK175" s="119">
        <f ca="1">-AK160-AK157</f>
        <v>0</v>
      </c>
      <c r="AL175" s="141">
        <f ca="1">-AL160-AL157</f>
        <v>0</v>
      </c>
      <c r="AM175" s="119">
        <f t="shared" si="259"/>
        <v>300</v>
      </c>
      <c r="AN175" s="119">
        <f t="shared" ref="AN175:BG175" si="260">-AN160-AN157</f>
        <v>0</v>
      </c>
      <c r="AO175" s="119">
        <f t="shared" si="260"/>
        <v>0</v>
      </c>
      <c r="AP175" s="119">
        <f ca="1">-AP160-AP157</f>
        <v>0</v>
      </c>
      <c r="AQ175" s="141">
        <f ca="1">-AQ160-AQ157</f>
        <v>300</v>
      </c>
      <c r="AR175" s="119">
        <f t="shared" si="260"/>
        <v>0</v>
      </c>
      <c r="AS175" s="119">
        <f t="shared" si="260"/>
        <v>187.5</v>
      </c>
      <c r="AT175" s="119">
        <f t="shared" si="260"/>
        <v>93.800000000000011</v>
      </c>
      <c r="AU175" s="119">
        <f t="shared" si="260"/>
        <v>132.39999999999998</v>
      </c>
      <c r="AV175" s="141">
        <f t="shared" si="260"/>
        <v>413.7</v>
      </c>
      <c r="AW175" s="119">
        <f ca="1">-AW160-AW157</f>
        <v>383</v>
      </c>
      <c r="AX175" s="119">
        <f t="shared" si="260"/>
        <v>0</v>
      </c>
      <c r="AY175" s="119">
        <f t="shared" si="260"/>
        <v>0</v>
      </c>
      <c r="AZ175" s="119">
        <f ca="1">-AZ160-AZ157</f>
        <v>0</v>
      </c>
      <c r="BA175" s="141">
        <f t="shared" si="260"/>
        <v>383</v>
      </c>
      <c r="BB175" s="119">
        <f t="shared" si="260"/>
        <v>0</v>
      </c>
      <c r="BC175" s="119">
        <f t="shared" si="260"/>
        <v>0</v>
      </c>
      <c r="BD175" s="119">
        <f t="shared" si="260"/>
        <v>0</v>
      </c>
      <c r="BE175" s="119">
        <f ca="1">-BE160-BE157</f>
        <v>0</v>
      </c>
      <c r="BF175" s="141">
        <f ca="1">-BF160-BF157</f>
        <v>0</v>
      </c>
      <c r="BG175" s="119">
        <f t="shared" si="260"/>
        <v>0</v>
      </c>
      <c r="BH175" s="119">
        <f>-BH160-BH157</f>
        <v>0</v>
      </c>
      <c r="BI175" s="119">
        <f ca="1">-BI160-BI202</f>
        <v>0</v>
      </c>
      <c r="BJ175" s="119">
        <f ca="1">-BJ160-BJ202</f>
        <v>0</v>
      </c>
      <c r="BK175" s="141">
        <f ca="1">-BK160-BK202</f>
        <v>0</v>
      </c>
      <c r="BL175" s="62">
        <f t="shared" ref="BL175:BY175" si="261">-BL160-BL202</f>
        <v>59.8</v>
      </c>
      <c r="BM175" s="119">
        <f t="shared" si="261"/>
        <v>60</v>
      </c>
      <c r="BN175" s="119">
        <f t="shared" si="261"/>
        <v>60.600000000000009</v>
      </c>
      <c r="BO175" s="119">
        <f t="shared" si="261"/>
        <v>95.2</v>
      </c>
      <c r="BP175" s="141">
        <f>-BP160-BP202</f>
        <v>275.60000000000002</v>
      </c>
      <c r="BQ175" s="119">
        <f t="shared" si="261"/>
        <v>80.3</v>
      </c>
      <c r="BR175" s="119">
        <f t="shared" si="261"/>
        <v>84.000000000000014</v>
      </c>
      <c r="BS175" s="119">
        <f t="shared" si="261"/>
        <v>446.6</v>
      </c>
      <c r="BT175" s="119">
        <f t="shared" si="261"/>
        <v>826.9</v>
      </c>
      <c r="BU175" s="141">
        <f t="shared" si="261"/>
        <v>1437.8000000000002</v>
      </c>
      <c r="BV175" s="119">
        <f t="shared" si="261"/>
        <v>100.5</v>
      </c>
      <c r="BW175" s="119">
        <f t="shared" si="261"/>
        <v>114.8</v>
      </c>
      <c r="BX175" s="119">
        <f t="shared" si="261"/>
        <v>325</v>
      </c>
      <c r="BY175" s="119">
        <f t="shared" si="261"/>
        <v>898.30000000000007</v>
      </c>
      <c r="BZ175" s="141">
        <f t="shared" ref="BZ175:CY175" si="262">-BZ160-BZ202</f>
        <v>1438.6</v>
      </c>
      <c r="CA175" s="119">
        <f t="shared" si="262"/>
        <v>464.63939899640911</v>
      </c>
      <c r="CB175" s="119">
        <f t="shared" si="262"/>
        <v>463.91886555139797</v>
      </c>
      <c r="CC175" s="119">
        <f t="shared" si="262"/>
        <v>463.11153018544672</v>
      </c>
      <c r="CD175" s="119">
        <f t="shared" si="262"/>
        <v>462.45556068829762</v>
      </c>
      <c r="CE175" s="141">
        <f t="shared" si="262"/>
        <v>1854.1253554215514</v>
      </c>
      <c r="CF175" s="119">
        <f t="shared" ca="1" si="262"/>
        <v>650.66319018918489</v>
      </c>
      <c r="CG175" s="119">
        <f t="shared" ca="1" si="262"/>
        <v>649.39031712008159</v>
      </c>
      <c r="CH175" s="119">
        <f t="shared" ca="1" si="262"/>
        <v>648.03113614409108</v>
      </c>
      <c r="CI175" s="119">
        <f t="shared" ca="1" si="262"/>
        <v>646.84802166330337</v>
      </c>
      <c r="CJ175" s="141">
        <f t="shared" ca="1" si="262"/>
        <v>2594.9326651166607</v>
      </c>
      <c r="CK175" s="119">
        <f t="shared" ca="1" si="262"/>
        <v>661.53334115537416</v>
      </c>
      <c r="CL175" s="119">
        <f t="shared" ca="1" si="262"/>
        <v>660.25944207870202</v>
      </c>
      <c r="CM175" s="119">
        <f t="shared" ca="1" si="262"/>
        <v>658.88725967048595</v>
      </c>
      <c r="CN175" s="119">
        <f t="shared" ca="1" si="262"/>
        <v>657.70750712464724</v>
      </c>
      <c r="CO175" s="141">
        <f t="shared" ca="1" si="262"/>
        <v>2638.3875500292093</v>
      </c>
      <c r="CP175" s="119">
        <f t="shared" ca="1" si="262"/>
        <v>672.90528450236366</v>
      </c>
      <c r="CQ175" s="119">
        <f t="shared" ca="1" si="262"/>
        <v>671.63840167399439</v>
      </c>
      <c r="CR175" s="119">
        <f t="shared" ca="1" si="262"/>
        <v>670.26034165745546</v>
      </c>
      <c r="CS175" s="119">
        <f t="shared" ca="1" si="262"/>
        <v>669.09195676240438</v>
      </c>
      <c r="CT175" s="141">
        <f t="shared" ca="1" si="262"/>
        <v>2683.8959845962181</v>
      </c>
      <c r="CU175" s="119">
        <f t="shared" ca="1" si="262"/>
        <v>690.27880247568214</v>
      </c>
      <c r="CV175" s="119">
        <f t="shared" ca="1" si="262"/>
        <v>688.9899675910458</v>
      </c>
      <c r="CW175" s="119">
        <f t="shared" ca="1" si="262"/>
        <v>687.57243954697446</v>
      </c>
      <c r="CX175" s="119">
        <f t="shared" ca="1" si="262"/>
        <v>686.38946016909927</v>
      </c>
      <c r="CY175" s="141">
        <f t="shared" ca="1" si="262"/>
        <v>2753.2306697828017</v>
      </c>
      <c r="CZ175" s="142"/>
      <c r="DA175" s="718"/>
      <c r="DB175" s="735"/>
      <c r="DC175" s="735"/>
      <c r="DD175" s="730"/>
      <c r="DF175" s="730"/>
      <c r="DG175" s="735"/>
      <c r="DH175" s="735"/>
      <c r="DI175" s="730"/>
      <c r="DJ175" s="730"/>
      <c r="DK175" s="730"/>
      <c r="DL175" s="747"/>
      <c r="DM175" s="849"/>
      <c r="DN175" s="747"/>
      <c r="DU175" s="48"/>
      <c r="DV175" s="48"/>
      <c r="DW175" s="730"/>
      <c r="DX175" s="730"/>
      <c r="DY175" s="730"/>
      <c r="DZ175" s="730"/>
      <c r="EA175" s="730"/>
    </row>
    <row r="176" spans="1:131" x14ac:dyDescent="0.2">
      <c r="A176" s="48" t="s">
        <v>171</v>
      </c>
      <c r="B176" s="48"/>
      <c r="C176" s="48"/>
      <c r="D176" s="238"/>
      <c r="E176" s="238"/>
      <c r="F176" s="238"/>
      <c r="G176" s="238"/>
      <c r="H176" s="234">
        <f t="shared" ref="H176:AM176" si="263">H175/H171</f>
        <v>-1.8114900111813546</v>
      </c>
      <c r="I176" s="139">
        <f t="shared" si="263"/>
        <v>0</v>
      </c>
      <c r="J176" s="139">
        <f t="shared" si="263"/>
        <v>0</v>
      </c>
      <c r="K176" s="139">
        <f t="shared" si="263"/>
        <v>0</v>
      </c>
      <c r="L176" s="139">
        <f t="shared" si="263"/>
        <v>0</v>
      </c>
      <c r="M176" s="234">
        <f t="shared" si="263"/>
        <v>0</v>
      </c>
      <c r="N176" s="139">
        <f t="shared" si="263"/>
        <v>0</v>
      </c>
      <c r="O176" s="139">
        <f t="shared" si="263"/>
        <v>0</v>
      </c>
      <c r="P176" s="139">
        <f t="shared" si="263"/>
        <v>0</v>
      </c>
      <c r="Q176" s="139">
        <f t="shared" si="263"/>
        <v>0</v>
      </c>
      <c r="R176" s="234">
        <f t="shared" si="263"/>
        <v>0</v>
      </c>
      <c r="S176" s="139">
        <f t="shared" si="263"/>
        <v>0</v>
      </c>
      <c r="T176" s="139">
        <f t="shared" si="263"/>
        <v>3.8497652582159589</v>
      </c>
      <c r="U176" s="139">
        <f t="shared" si="263"/>
        <v>25.714285714286394</v>
      </c>
      <c r="V176" s="139">
        <f t="shared" si="263"/>
        <v>0</v>
      </c>
      <c r="W176" s="234">
        <f t="shared" si="263"/>
        <v>0.82508250825082519</v>
      </c>
      <c r="X176" s="139">
        <f t="shared" si="263"/>
        <v>-4.8169556840077075</v>
      </c>
      <c r="Y176" s="139">
        <f t="shared" si="263"/>
        <v>0</v>
      </c>
      <c r="Z176" s="139">
        <f t="shared" si="263"/>
        <v>0</v>
      </c>
      <c r="AA176" s="139">
        <f t="shared" si="263"/>
        <v>0</v>
      </c>
      <c r="AB176" s="234">
        <f t="shared" si="263"/>
        <v>1.3297872340425534</v>
      </c>
      <c r="AC176" s="139">
        <f t="shared" si="263"/>
        <v>0</v>
      </c>
      <c r="AD176" s="139">
        <f t="shared" si="263"/>
        <v>0</v>
      </c>
      <c r="AE176" s="139">
        <f t="shared" si="263"/>
        <v>0</v>
      </c>
      <c r="AF176" s="139">
        <f t="shared" si="263"/>
        <v>0</v>
      </c>
      <c r="AG176" s="234">
        <f t="shared" si="263"/>
        <v>0</v>
      </c>
      <c r="AH176" s="139">
        <f t="shared" si="263"/>
        <v>0</v>
      </c>
      <c r="AI176" s="139">
        <f t="shared" si="263"/>
        <v>0</v>
      </c>
      <c r="AJ176" s="139">
        <f t="shared" si="263"/>
        <v>0</v>
      </c>
      <c r="AK176" s="139">
        <f ca="1">AK175/AK171</f>
        <v>0</v>
      </c>
      <c r="AL176" s="234">
        <f ca="1">AL175/AL171</f>
        <v>0</v>
      </c>
      <c r="AM176" s="139">
        <f t="shared" si="263"/>
        <v>8.7976539589442808</v>
      </c>
      <c r="AN176" s="139">
        <f t="shared" ref="AN176:BS176" si="264">AN175/AN171</f>
        <v>0</v>
      </c>
      <c r="AO176" s="139">
        <f t="shared" si="264"/>
        <v>0</v>
      </c>
      <c r="AP176" s="139">
        <f ca="1">AP175/AP171</f>
        <v>0</v>
      </c>
      <c r="AQ176" s="234">
        <f ca="1">AQ175/AQ171</f>
        <v>0.56582421727649945</v>
      </c>
      <c r="AR176" s="139">
        <f t="shared" si="264"/>
        <v>0</v>
      </c>
      <c r="AS176" s="139">
        <f t="shared" si="264"/>
        <v>0.72702597906165189</v>
      </c>
      <c r="AT176" s="139">
        <f t="shared" si="264"/>
        <v>0.86451612903225838</v>
      </c>
      <c r="AU176" s="139">
        <f t="shared" si="264"/>
        <v>1.0263565891472866</v>
      </c>
      <c r="AV176" s="234">
        <f t="shared" si="264"/>
        <v>0.57803548973033392</v>
      </c>
      <c r="AW176" s="139">
        <f ca="1">AW175/AW171</f>
        <v>4.9869791666666661</v>
      </c>
      <c r="AX176" s="139">
        <f t="shared" si="264"/>
        <v>0</v>
      </c>
      <c r="AY176" s="139">
        <f t="shared" si="264"/>
        <v>0</v>
      </c>
      <c r="AZ176" s="139">
        <f ca="1">AZ175/AZ171</f>
        <v>0</v>
      </c>
      <c r="BA176" s="234">
        <f t="shared" si="264"/>
        <v>0.77498988263860791</v>
      </c>
      <c r="BB176" s="139">
        <f t="shared" si="264"/>
        <v>0</v>
      </c>
      <c r="BC176" s="139">
        <f t="shared" si="264"/>
        <v>0</v>
      </c>
      <c r="BD176" s="139">
        <f t="shared" si="264"/>
        <v>0</v>
      </c>
      <c r="BE176" s="139">
        <f ca="1">BE175/BE171</f>
        <v>0</v>
      </c>
      <c r="BF176" s="234">
        <f ca="1">BF175/BF171</f>
        <v>0</v>
      </c>
      <c r="BG176" s="139">
        <f t="shared" si="264"/>
        <v>0</v>
      </c>
      <c r="BH176" s="139">
        <f t="shared" si="264"/>
        <v>0</v>
      </c>
      <c r="BI176" s="139">
        <f ca="1">BI175/BI171</f>
        <v>0</v>
      </c>
      <c r="BJ176" s="139">
        <f ca="1">BJ175/BJ171</f>
        <v>0</v>
      </c>
      <c r="BK176" s="234">
        <f ca="1">BK175/BK171</f>
        <v>0</v>
      </c>
      <c r="BL176" s="139">
        <f t="shared" si="264"/>
        <v>0.7868421052631579</v>
      </c>
      <c r="BM176" s="139">
        <f t="shared" si="264"/>
        <v>0.13879250520471892</v>
      </c>
      <c r="BN176" s="139">
        <f t="shared" si="264"/>
        <v>0.87194244604316706</v>
      </c>
      <c r="BO176" s="139">
        <f t="shared" si="264"/>
        <v>-1.7184115523465746</v>
      </c>
      <c r="BP176" s="234">
        <f>BP175/BP171</f>
        <v>0.52756508422664616</v>
      </c>
      <c r="BQ176" s="139">
        <f t="shared" si="264"/>
        <v>0.45495750708215305</v>
      </c>
      <c r="BR176" s="139">
        <f t="shared" si="264"/>
        <v>0.16806722689075632</v>
      </c>
      <c r="BS176" s="139">
        <f t="shared" si="264"/>
        <v>3.021650879566983</v>
      </c>
      <c r="BT176" s="139">
        <f t="shared" ref="BT176:BX176" si="265">BT175/BT171</f>
        <v>-23.292957746478798</v>
      </c>
      <c r="BU176" s="234">
        <f>BU175/BU171</f>
        <v>1.8232310423535381</v>
      </c>
      <c r="BV176" s="139">
        <f t="shared" si="265"/>
        <v>0.61094224924012153</v>
      </c>
      <c r="BW176" s="139">
        <f t="shared" si="265"/>
        <v>0.26494345718901446</v>
      </c>
      <c r="BX176" s="139">
        <f t="shared" si="265"/>
        <v>1.9696969696969699</v>
      </c>
      <c r="BY176" s="139">
        <f t="shared" ref="BY176:CY176" si="266">BY175/BY171</f>
        <v>8.0927927927927765</v>
      </c>
      <c r="BZ176" s="234">
        <f t="shared" si="266"/>
        <v>1.6463721675440599</v>
      </c>
      <c r="CA176" s="139">
        <f t="shared" ca="1" si="266"/>
        <v>1.393833375047397</v>
      </c>
      <c r="CB176" s="139">
        <f t="shared" ca="1" si="266"/>
        <v>1.0358046205111782</v>
      </c>
      <c r="CC176" s="139">
        <f t="shared" ca="1" si="266"/>
        <v>1.5774758555015569</v>
      </c>
      <c r="CD176" s="139">
        <f t="shared" ca="1" si="266"/>
        <v>2.0692738280042922</v>
      </c>
      <c r="CE176" s="234">
        <f t="shared" ca="1" si="266"/>
        <v>1.4281170718623897</v>
      </c>
      <c r="CF176" s="139">
        <f t="shared" ca="1" si="266"/>
        <v>1.3231243634765841</v>
      </c>
      <c r="CG176" s="139">
        <f t="shared" ca="1" si="266"/>
        <v>1.1191582140744714</v>
      </c>
      <c r="CH176" s="139">
        <f t="shared" ca="1" si="266"/>
        <v>1.622529360355679</v>
      </c>
      <c r="CI176" s="139">
        <f t="shared" ca="1" si="266"/>
        <v>2.0426202774988433</v>
      </c>
      <c r="CJ176" s="234">
        <f t="shared" ca="1" si="266"/>
        <v>1.4512374011775584</v>
      </c>
      <c r="CK176" s="139">
        <f t="shared" ca="1" si="266"/>
        <v>1.0688756126012633</v>
      </c>
      <c r="CL176" s="139">
        <f t="shared" ca="1" si="266"/>
        <v>0.89303998682625685</v>
      </c>
      <c r="CM176" s="139">
        <f t="shared" ca="1" si="266"/>
        <v>1.2387852829107722</v>
      </c>
      <c r="CN176" s="139">
        <f t="shared" ca="1" si="266"/>
        <v>1.4963225981273194</v>
      </c>
      <c r="CO176" s="234">
        <f t="shared" ca="1" si="266"/>
        <v>1.1325126570507211</v>
      </c>
      <c r="CP176" s="139">
        <f t="shared" ca="1" si="266"/>
        <v>0.97110871771862728</v>
      </c>
      <c r="CQ176" s="139">
        <f t="shared" ca="1" si="266"/>
        <v>0.78409320606506328</v>
      </c>
      <c r="CR176" s="139">
        <f t="shared" ca="1" si="266"/>
        <v>1.0619362856803005</v>
      </c>
      <c r="CS176" s="139">
        <f t="shared" ca="1" si="266"/>
        <v>1.2705081865007339</v>
      </c>
      <c r="CT176" s="234">
        <f t="shared" ca="1" si="266"/>
        <v>0.99135301051781666</v>
      </c>
      <c r="CU176" s="139">
        <f t="shared" ca="1" si="266"/>
        <v>0.94348500803066693</v>
      </c>
      <c r="CV176" s="139">
        <f t="shared" ca="1" si="266"/>
        <v>0.76634715190056868</v>
      </c>
      <c r="CW176" s="139">
        <f t="shared" ca="1" si="266"/>
        <v>1.0313786869657771</v>
      </c>
      <c r="CX176" s="139">
        <f t="shared" ca="1" si="266"/>
        <v>1.2408563406185902</v>
      </c>
      <c r="CY176" s="234">
        <f t="shared" ca="1" si="266"/>
        <v>0.96587791052154148</v>
      </c>
      <c r="CZ176" s="240"/>
      <c r="DA176" s="730"/>
      <c r="DB176" s="736"/>
      <c r="DC176" s="736"/>
      <c r="DD176" s="730"/>
      <c r="DF176" s="730"/>
      <c r="DG176" s="736"/>
      <c r="DH176" s="736"/>
      <c r="DI176" s="730"/>
      <c r="DJ176" s="730"/>
      <c r="DK176" s="730"/>
      <c r="DL176" s="747"/>
      <c r="DM176" s="773"/>
      <c r="DN176" s="747"/>
      <c r="DU176" s="48"/>
      <c r="DV176" s="48"/>
      <c r="DW176" s="730"/>
      <c r="DX176" s="730"/>
      <c r="DY176" s="730"/>
      <c r="DZ176" s="730"/>
      <c r="EA176" s="730"/>
    </row>
    <row r="177" spans="1:131" x14ac:dyDescent="0.2">
      <c r="A177" s="48"/>
      <c r="B177" s="48"/>
      <c r="C177" s="48"/>
      <c r="D177" s="62"/>
      <c r="E177" s="62"/>
      <c r="F177" s="119"/>
      <c r="G177" s="119"/>
      <c r="H177" s="234"/>
      <c r="I177" s="119"/>
      <c r="J177" s="119"/>
      <c r="K177" s="119"/>
      <c r="L177" s="119"/>
      <c r="M177" s="141"/>
      <c r="N177" s="119"/>
      <c r="O177" s="119"/>
      <c r="P177" s="119"/>
      <c r="Q177" s="119"/>
      <c r="R177" s="141"/>
      <c r="S177" s="119"/>
      <c r="T177" s="119"/>
      <c r="U177" s="119"/>
      <c r="V177" s="119"/>
      <c r="W177" s="141"/>
      <c r="X177" s="119"/>
      <c r="Y177" s="119"/>
      <c r="Z177" s="119"/>
      <c r="AA177" s="119"/>
      <c r="AB177" s="141"/>
      <c r="AC177" s="119"/>
      <c r="AD177" s="119"/>
      <c r="AE177" s="119"/>
      <c r="AF177" s="119"/>
      <c r="AG177" s="141"/>
      <c r="AH177" s="119"/>
      <c r="AI177" s="119"/>
      <c r="AJ177" s="119"/>
      <c r="AK177" s="119"/>
      <c r="AL177" s="141"/>
      <c r="AM177" s="119"/>
      <c r="AN177" s="119"/>
      <c r="AO177" s="119"/>
      <c r="AP177" s="119"/>
      <c r="AQ177" s="141"/>
      <c r="AR177" s="119"/>
      <c r="AS177" s="119"/>
      <c r="AT177" s="119"/>
      <c r="AU177" s="90"/>
      <c r="AV177" s="141"/>
      <c r="AW177" s="119"/>
      <c r="AX177" s="90"/>
      <c r="AY177" s="119"/>
      <c r="AZ177" s="119"/>
      <c r="BA177" s="141"/>
      <c r="BB177" s="119"/>
      <c r="BC177" s="119"/>
      <c r="BD177" s="119"/>
      <c r="BE177" s="119"/>
      <c r="BF177" s="141"/>
      <c r="BG177" s="119"/>
      <c r="BH177" s="119"/>
      <c r="BI177" s="119"/>
      <c r="BJ177" s="119"/>
      <c r="BK177" s="141"/>
      <c r="BL177" s="119"/>
      <c r="BM177" s="119"/>
      <c r="BN177" s="119"/>
      <c r="BO177" s="119"/>
      <c r="BP177" s="141"/>
      <c r="BQ177" s="119"/>
      <c r="BR177" s="139"/>
      <c r="BS177" s="119"/>
      <c r="BT177" s="119"/>
      <c r="BU177" s="234"/>
      <c r="BV177" s="119"/>
      <c r="BW177" s="119"/>
      <c r="BX177" s="119"/>
      <c r="BY177" s="119"/>
      <c r="BZ177" s="141"/>
      <c r="CA177" s="119"/>
      <c r="CB177" s="119"/>
      <c r="CC177" s="119"/>
      <c r="CD177" s="119"/>
      <c r="CE177" s="141"/>
      <c r="CF177" s="88"/>
      <c r="CG177" s="119"/>
      <c r="CH177" s="119"/>
      <c r="CI177" s="119"/>
      <c r="CJ177" s="141"/>
      <c r="CK177" s="88"/>
      <c r="CL177" s="119"/>
      <c r="CM177" s="119"/>
      <c r="CN177" s="119"/>
      <c r="CO177" s="141"/>
      <c r="CP177" s="119"/>
      <c r="CQ177" s="119"/>
      <c r="CR177" s="119"/>
      <c r="CS177" s="119"/>
      <c r="CT177" s="141"/>
      <c r="CU177" s="119"/>
      <c r="CV177" s="119"/>
      <c r="CW177" s="119"/>
      <c r="CX177" s="119"/>
      <c r="CY177" s="141"/>
      <c r="CZ177" s="142"/>
      <c r="DA177" s="730"/>
      <c r="DB177" s="735"/>
      <c r="DC177" s="735"/>
      <c r="DD177" s="730"/>
      <c r="DF177" s="730"/>
      <c r="DG177" s="735"/>
      <c r="DH177" s="735"/>
      <c r="DI177" s="730"/>
      <c r="DJ177" s="730"/>
      <c r="DK177" s="730"/>
      <c r="DL177" s="747"/>
      <c r="DM177" s="747"/>
      <c r="DN177" s="747"/>
      <c r="DU177" s="48"/>
      <c r="DV177" s="48"/>
      <c r="DW177" s="730"/>
      <c r="DX177" s="730"/>
      <c r="DY177" s="730"/>
      <c r="DZ177" s="730"/>
      <c r="EA177" s="730"/>
    </row>
    <row r="178" spans="1:131" x14ac:dyDescent="0.2">
      <c r="A178" s="80" t="s">
        <v>172</v>
      </c>
      <c r="B178" s="80"/>
      <c r="C178" s="241"/>
      <c r="D178" s="82"/>
      <c r="E178" s="82"/>
      <c r="F178" s="82"/>
      <c r="G178" s="82"/>
      <c r="H178" s="81" t="str">
        <f t="shared" ref="H178:AM178" si="267">H4</f>
        <v>FY2004</v>
      </c>
      <c r="I178" s="82">
        <f t="shared" si="267"/>
        <v>38131</v>
      </c>
      <c r="J178" s="82">
        <f t="shared" si="267"/>
        <v>38221</v>
      </c>
      <c r="K178" s="82">
        <f t="shared" si="267"/>
        <v>38311</v>
      </c>
      <c r="L178" s="82">
        <f t="shared" si="267"/>
        <v>38401</v>
      </c>
      <c r="M178" s="81" t="str">
        <f t="shared" si="267"/>
        <v>FY2005</v>
      </c>
      <c r="N178" s="82">
        <f t="shared" si="267"/>
        <v>38491</v>
      </c>
      <c r="O178" s="82">
        <f t="shared" si="267"/>
        <v>38581</v>
      </c>
      <c r="P178" s="82">
        <f t="shared" si="267"/>
        <v>38671</v>
      </c>
      <c r="Q178" s="82">
        <f t="shared" si="267"/>
        <v>38761</v>
      </c>
      <c r="R178" s="81" t="str">
        <f t="shared" si="267"/>
        <v>FY2006</v>
      </c>
      <c r="S178" s="82">
        <f t="shared" si="267"/>
        <v>38851</v>
      </c>
      <c r="T178" s="82">
        <f t="shared" si="267"/>
        <v>38941</v>
      </c>
      <c r="U178" s="82">
        <f t="shared" si="267"/>
        <v>39031</v>
      </c>
      <c r="V178" s="82">
        <f t="shared" si="267"/>
        <v>39121</v>
      </c>
      <c r="W178" s="81" t="str">
        <f t="shared" si="267"/>
        <v>FY2007</v>
      </c>
      <c r="X178" s="82">
        <f t="shared" si="267"/>
        <v>39211</v>
      </c>
      <c r="Y178" s="82">
        <f t="shared" si="267"/>
        <v>39301</v>
      </c>
      <c r="Z178" s="82">
        <f t="shared" si="267"/>
        <v>39391</v>
      </c>
      <c r="AA178" s="82">
        <f t="shared" si="267"/>
        <v>39481</v>
      </c>
      <c r="AB178" s="81" t="str">
        <f t="shared" si="267"/>
        <v>FY2008</v>
      </c>
      <c r="AC178" s="82">
        <f t="shared" si="267"/>
        <v>39571</v>
      </c>
      <c r="AD178" s="82">
        <f t="shared" si="267"/>
        <v>39661</v>
      </c>
      <c r="AE178" s="82">
        <f t="shared" si="267"/>
        <v>39781</v>
      </c>
      <c r="AF178" s="82">
        <f t="shared" si="267"/>
        <v>39871</v>
      </c>
      <c r="AG178" s="81" t="str">
        <f t="shared" si="267"/>
        <v>FY2009</v>
      </c>
      <c r="AH178" s="82">
        <f t="shared" si="267"/>
        <v>39961</v>
      </c>
      <c r="AI178" s="82">
        <f t="shared" si="267"/>
        <v>40051</v>
      </c>
      <c r="AJ178" s="82">
        <f t="shared" si="267"/>
        <v>40141</v>
      </c>
      <c r="AK178" s="82">
        <f t="shared" si="267"/>
        <v>40219</v>
      </c>
      <c r="AL178" s="81" t="str">
        <f t="shared" si="267"/>
        <v>FY2010</v>
      </c>
      <c r="AM178" s="82">
        <f t="shared" si="267"/>
        <v>40309</v>
      </c>
      <c r="AN178" s="82">
        <f t="shared" ref="AN178:BS178" si="268">AN4</f>
        <v>40399</v>
      </c>
      <c r="AO178" s="82">
        <f t="shared" si="268"/>
        <v>40489</v>
      </c>
      <c r="AP178" s="82">
        <f t="shared" si="268"/>
        <v>40585</v>
      </c>
      <c r="AQ178" s="81" t="str">
        <f t="shared" si="268"/>
        <v>FY2011</v>
      </c>
      <c r="AR178" s="82">
        <f t="shared" si="268"/>
        <v>40674</v>
      </c>
      <c r="AS178" s="82">
        <f t="shared" si="268"/>
        <v>40766</v>
      </c>
      <c r="AT178" s="82">
        <f t="shared" si="268"/>
        <v>40858</v>
      </c>
      <c r="AU178" s="82">
        <f t="shared" si="268"/>
        <v>40951</v>
      </c>
      <c r="AV178" s="81" t="str">
        <f t="shared" si="268"/>
        <v>FY2012</v>
      </c>
      <c r="AW178" s="82">
        <f t="shared" si="268"/>
        <v>41041</v>
      </c>
      <c r="AX178" s="82">
        <f t="shared" si="268"/>
        <v>41133</v>
      </c>
      <c r="AY178" s="82">
        <f t="shared" si="268"/>
        <v>41225</v>
      </c>
      <c r="AZ178" s="82">
        <f t="shared" si="268"/>
        <v>41318</v>
      </c>
      <c r="BA178" s="81" t="str">
        <f t="shared" si="268"/>
        <v>FY2013</v>
      </c>
      <c r="BB178" s="82">
        <f t="shared" si="268"/>
        <v>41407</v>
      </c>
      <c r="BC178" s="82">
        <f t="shared" si="268"/>
        <v>41499</v>
      </c>
      <c r="BD178" s="82">
        <f t="shared" si="268"/>
        <v>41591</v>
      </c>
      <c r="BE178" s="82">
        <f t="shared" si="268"/>
        <v>41684</v>
      </c>
      <c r="BF178" s="81" t="str">
        <f t="shared" si="268"/>
        <v>FY2014</v>
      </c>
      <c r="BG178" s="82">
        <f t="shared" si="268"/>
        <v>41773</v>
      </c>
      <c r="BH178" s="82">
        <f t="shared" si="268"/>
        <v>41865</v>
      </c>
      <c r="BI178" s="82">
        <f t="shared" si="268"/>
        <v>41957</v>
      </c>
      <c r="BJ178" s="82">
        <f t="shared" si="268"/>
        <v>42050</v>
      </c>
      <c r="BK178" s="81" t="str">
        <f t="shared" si="268"/>
        <v>FY2015</v>
      </c>
      <c r="BL178" s="82">
        <f t="shared" si="268"/>
        <v>42139</v>
      </c>
      <c r="BM178" s="82">
        <f t="shared" si="268"/>
        <v>42231</v>
      </c>
      <c r="BN178" s="82">
        <f t="shared" si="268"/>
        <v>42323</v>
      </c>
      <c r="BO178" s="82">
        <f t="shared" si="268"/>
        <v>42416</v>
      </c>
      <c r="BP178" s="81" t="str">
        <f t="shared" si="268"/>
        <v>FY2016</v>
      </c>
      <c r="BQ178" s="82">
        <f t="shared" si="268"/>
        <v>42506</v>
      </c>
      <c r="BR178" s="82">
        <f t="shared" si="268"/>
        <v>42598</v>
      </c>
      <c r="BS178" s="82">
        <f t="shared" si="268"/>
        <v>42690</v>
      </c>
      <c r="BT178" s="82">
        <f t="shared" ref="BT178:CY178" si="269">BT4</f>
        <v>42783</v>
      </c>
      <c r="BU178" s="81" t="str">
        <f t="shared" si="269"/>
        <v>FY2017</v>
      </c>
      <c r="BV178" s="82">
        <f t="shared" si="269"/>
        <v>42872</v>
      </c>
      <c r="BW178" s="82">
        <f t="shared" si="269"/>
        <v>42964</v>
      </c>
      <c r="BX178" s="82">
        <f t="shared" si="269"/>
        <v>43056</v>
      </c>
      <c r="BY178" s="82">
        <f t="shared" si="269"/>
        <v>43149</v>
      </c>
      <c r="BZ178" s="81" t="str">
        <f t="shared" si="269"/>
        <v>FY2018</v>
      </c>
      <c r="CA178" s="82" t="str">
        <f t="shared" si="269"/>
        <v>May-18 E</v>
      </c>
      <c r="CB178" s="82" t="str">
        <f t="shared" si="269"/>
        <v>Aug-18 E</v>
      </c>
      <c r="CC178" s="82" t="str">
        <f t="shared" si="269"/>
        <v>Nov-18 E</v>
      </c>
      <c r="CD178" s="82" t="str">
        <f t="shared" si="269"/>
        <v>Feb-19 E</v>
      </c>
      <c r="CE178" s="81" t="str">
        <f t="shared" si="269"/>
        <v>FY2019E</v>
      </c>
      <c r="CF178" s="82" t="str">
        <f t="shared" si="269"/>
        <v>May-19 E</v>
      </c>
      <c r="CG178" s="82" t="str">
        <f t="shared" si="269"/>
        <v>Aug-19 E</v>
      </c>
      <c r="CH178" s="82" t="str">
        <f t="shared" si="269"/>
        <v>Nov-19 E</v>
      </c>
      <c r="CI178" s="82" t="str">
        <f t="shared" si="269"/>
        <v>Feb-20 E</v>
      </c>
      <c r="CJ178" s="81" t="str">
        <f t="shared" si="269"/>
        <v>FY2020E</v>
      </c>
      <c r="CK178" s="82" t="str">
        <f t="shared" si="269"/>
        <v>May-20 E</v>
      </c>
      <c r="CL178" s="82" t="str">
        <f t="shared" si="269"/>
        <v>Aug-20 E</v>
      </c>
      <c r="CM178" s="82" t="str">
        <f t="shared" si="269"/>
        <v>Nov-20 E</v>
      </c>
      <c r="CN178" s="82" t="str">
        <f t="shared" si="269"/>
        <v>Feb-21 E</v>
      </c>
      <c r="CO178" s="81" t="str">
        <f t="shared" si="269"/>
        <v>FY2021E</v>
      </c>
      <c r="CP178" s="82" t="str">
        <f t="shared" si="269"/>
        <v>May-21 E</v>
      </c>
      <c r="CQ178" s="82" t="str">
        <f t="shared" si="269"/>
        <v>Aug-21 E</v>
      </c>
      <c r="CR178" s="82" t="str">
        <f t="shared" si="269"/>
        <v>Nov-21 E</v>
      </c>
      <c r="CS178" s="82" t="str">
        <f t="shared" si="269"/>
        <v>Feb-22 E</v>
      </c>
      <c r="CT178" s="81" t="str">
        <f t="shared" si="269"/>
        <v>FY2022E</v>
      </c>
      <c r="CU178" s="82" t="str">
        <f t="shared" si="269"/>
        <v>May-22 E</v>
      </c>
      <c r="CV178" s="82" t="str">
        <f t="shared" si="269"/>
        <v>Aug-22 E</v>
      </c>
      <c r="CW178" s="82" t="str">
        <f t="shared" si="269"/>
        <v>Nov-22 E</v>
      </c>
      <c r="CX178" s="82" t="str">
        <f t="shared" si="269"/>
        <v>Feb-23 E</v>
      </c>
      <c r="CY178" s="81" t="str">
        <f t="shared" si="269"/>
        <v>FY2023E</v>
      </c>
      <c r="CZ178" s="202"/>
      <c r="DA178" s="730"/>
      <c r="DB178" s="376"/>
      <c r="DC178" s="376"/>
      <c r="DD178" s="730"/>
      <c r="DF178" s="730"/>
      <c r="DG178" s="376"/>
      <c r="DH178" s="376"/>
      <c r="DI178" s="730"/>
      <c r="DJ178" s="730"/>
      <c r="DK178" s="730"/>
      <c r="DL178" s="747"/>
      <c r="DM178" s="747"/>
      <c r="DN178" s="747"/>
      <c r="DU178" s="48"/>
      <c r="DV178" s="48"/>
      <c r="DW178" s="730"/>
      <c r="DX178" s="730"/>
      <c r="DY178" s="730"/>
      <c r="DZ178" s="730"/>
      <c r="EA178" s="730"/>
    </row>
    <row r="179" spans="1:131" x14ac:dyDescent="0.2">
      <c r="A179" s="48" t="s">
        <v>173</v>
      </c>
      <c r="B179" s="48"/>
      <c r="C179" s="48"/>
      <c r="D179" s="242"/>
      <c r="E179" s="242"/>
      <c r="F179" s="242"/>
      <c r="G179" s="242"/>
      <c r="H179" s="96">
        <f t="shared" ref="H179:AM179" si="270">-H11/H5</f>
        <v>0.71676802387868288</v>
      </c>
      <c r="I179" s="54">
        <f t="shared" si="270"/>
        <v>0.72643197222057454</v>
      </c>
      <c r="J179" s="54">
        <f t="shared" si="270"/>
        <v>0.71969957789305272</v>
      </c>
      <c r="K179" s="54">
        <f t="shared" si="270"/>
        <v>0.71109807305995798</v>
      </c>
      <c r="L179" s="54">
        <f t="shared" si="270"/>
        <v>0.71205023509151666</v>
      </c>
      <c r="M179" s="96">
        <f t="shared" si="270"/>
        <v>0.71700038017065104</v>
      </c>
      <c r="N179" s="54">
        <f t="shared" si="270"/>
        <v>0.71215237087735461</v>
      </c>
      <c r="O179" s="54">
        <f t="shared" si="270"/>
        <v>0.7006113465312146</v>
      </c>
      <c r="P179" s="54">
        <f t="shared" si="270"/>
        <v>0.68455528371872776</v>
      </c>
      <c r="Q179" s="54">
        <f t="shared" si="270"/>
        <v>0.71686229602061269</v>
      </c>
      <c r="R179" s="96">
        <f t="shared" si="270"/>
        <v>0.70263929618768328</v>
      </c>
      <c r="S179" s="54">
        <f t="shared" si="270"/>
        <v>0.72160221472445707</v>
      </c>
      <c r="T179" s="54">
        <f t="shared" si="270"/>
        <v>0.70165784832451505</v>
      </c>
      <c r="U179" s="54">
        <f t="shared" si="270"/>
        <v>0.68956556503198307</v>
      </c>
      <c r="V179" s="54">
        <f t="shared" si="270"/>
        <v>0.69024689196287869</v>
      </c>
      <c r="W179" s="96">
        <f t="shared" si="270"/>
        <v>0.70009968560693203</v>
      </c>
      <c r="X179" s="54">
        <f t="shared" si="270"/>
        <v>0.69673768308921435</v>
      </c>
      <c r="Y179" s="54">
        <f t="shared" si="270"/>
        <v>0.64799462245126593</v>
      </c>
      <c r="Z179" s="54">
        <f t="shared" si="270"/>
        <v>0.63710266715381803</v>
      </c>
      <c r="AA179" s="54">
        <f t="shared" si="270"/>
        <v>0.62652645861601086</v>
      </c>
      <c r="AB179" s="96">
        <f t="shared" si="270"/>
        <v>0.6514444738934535</v>
      </c>
      <c r="AC179" s="54">
        <f t="shared" si="270"/>
        <v>0.63575874651212705</v>
      </c>
      <c r="AD179" s="54">
        <f t="shared" si="270"/>
        <v>0.62362780972294829</v>
      </c>
      <c r="AE179" s="54">
        <f t="shared" si="270"/>
        <v>0.60007757951900709</v>
      </c>
      <c r="AF179" s="54">
        <f t="shared" si="270"/>
        <v>0.66603183240375463</v>
      </c>
      <c r="AG179" s="96">
        <f t="shared" si="270"/>
        <v>0.62860504569583542</v>
      </c>
      <c r="AH179" s="54">
        <f t="shared" si="270"/>
        <v>0.65108640727640221</v>
      </c>
      <c r="AI179" s="54">
        <f t="shared" si="270"/>
        <v>0.62921989051094895</v>
      </c>
      <c r="AJ179" s="54">
        <f t="shared" si="270"/>
        <v>0.64635010630758327</v>
      </c>
      <c r="AK179" s="54">
        <f t="shared" si="270"/>
        <v>0.68025963030901648</v>
      </c>
      <c r="AL179" s="96">
        <f t="shared" si="270"/>
        <v>0.65014265335235377</v>
      </c>
      <c r="AM179" s="54">
        <f t="shared" si="270"/>
        <v>0.65460317460317463</v>
      </c>
      <c r="AN179" s="54">
        <f t="shared" ref="AN179:BS179" si="271">-AN11/AN5</f>
        <v>0.63502549837737599</v>
      </c>
      <c r="AO179" s="54">
        <f t="shared" si="271"/>
        <v>0.63472682119205293</v>
      </c>
      <c r="AP179" s="54">
        <f t="shared" si="271"/>
        <v>0.6436460226478401</v>
      </c>
      <c r="AQ179" s="96">
        <f t="shared" si="271"/>
        <v>0.6414165666266507</v>
      </c>
      <c r="AR179" s="54">
        <f t="shared" si="271"/>
        <v>0.60459625373839143</v>
      </c>
      <c r="AS179" s="54">
        <f t="shared" si="271"/>
        <v>0.58982903506230078</v>
      </c>
      <c r="AT179" s="54">
        <f t="shared" si="271"/>
        <v>0.59511916654773789</v>
      </c>
      <c r="AU179" s="54">
        <f t="shared" si="271"/>
        <v>0.60834262060181499</v>
      </c>
      <c r="AV179" s="96">
        <f t="shared" si="271"/>
        <v>0.59914101646385109</v>
      </c>
      <c r="AW179" s="54">
        <f t="shared" si="271"/>
        <v>0.60396975425330812</v>
      </c>
      <c r="AX179" s="54">
        <f t="shared" si="271"/>
        <v>0.58969219756621327</v>
      </c>
      <c r="AY179" s="54">
        <f t="shared" si="271"/>
        <v>0.59029860477246066</v>
      </c>
      <c r="AZ179" s="54">
        <f t="shared" si="271"/>
        <v>0.62077884753556545</v>
      </c>
      <c r="BA179" s="96">
        <f t="shared" si="271"/>
        <v>0.6008368799399163</v>
      </c>
      <c r="BB179" s="54">
        <f t="shared" si="271"/>
        <v>0.61746361746361755</v>
      </c>
      <c r="BC179" s="54">
        <f t="shared" si="271"/>
        <v>0.59679408138101109</v>
      </c>
      <c r="BD179" s="54">
        <f t="shared" si="271"/>
        <v>0.57604101711355926</v>
      </c>
      <c r="BE179" s="54">
        <f t="shared" si="271"/>
        <v>0.57434944237918206</v>
      </c>
      <c r="BF179" s="96">
        <f t="shared" si="271"/>
        <v>0.58754647985701669</v>
      </c>
      <c r="BG179" s="54">
        <f t="shared" si="271"/>
        <v>0.55570117955439058</v>
      </c>
      <c r="BH179" s="54">
        <f t="shared" si="271"/>
        <v>0.56593680019905457</v>
      </c>
      <c r="BI179" s="54">
        <f t="shared" si="271"/>
        <v>0.56509892961401231</v>
      </c>
      <c r="BJ179" s="54">
        <f t="shared" si="271"/>
        <v>0.56249538029418278</v>
      </c>
      <c r="BK179" s="96">
        <f t="shared" si="271"/>
        <v>0.56235899137358991</v>
      </c>
      <c r="BL179" s="54">
        <f t="shared" si="271"/>
        <v>0.54287991172684369</v>
      </c>
      <c r="BM179" s="54">
        <f t="shared" si="271"/>
        <v>0.54407522787585083</v>
      </c>
      <c r="BN179" s="54">
        <f t="shared" si="271"/>
        <v>0.53709234989332522</v>
      </c>
      <c r="BO179" s="54">
        <f t="shared" si="271"/>
        <v>0.53628823224468636</v>
      </c>
      <c r="BP179" s="96">
        <f t="shared" si="271"/>
        <v>0.54019302425019855</v>
      </c>
      <c r="BQ179" s="54">
        <f t="shared" si="271"/>
        <v>0.53509990383587991</v>
      </c>
      <c r="BR179" s="54">
        <f t="shared" si="271"/>
        <v>0.51959232139323175</v>
      </c>
      <c r="BS179" s="54">
        <f t="shared" si="271"/>
        <v>0.51151615575807785</v>
      </c>
      <c r="BT179" s="54">
        <f t="shared" ref="BT179:CY179" si="272">-BT11/BT5</f>
        <v>0.51695331695331692</v>
      </c>
      <c r="BU179" s="96">
        <f t="shared" si="272"/>
        <v>0.52097115187887877</v>
      </c>
      <c r="BV179" s="54">
        <f t="shared" si="272"/>
        <v>0.48178765176956861</v>
      </c>
      <c r="BW179" s="54">
        <f t="shared" si="272"/>
        <v>0.49057327896378028</v>
      </c>
      <c r="BX179" s="54">
        <f t="shared" si="272"/>
        <v>0.49346895670057256</v>
      </c>
      <c r="BY179" s="623">
        <f t="shared" ref="BY179" si="273">-BY11/BY5</f>
        <v>0.50784302621892519</v>
      </c>
      <c r="BZ179" s="96">
        <f t="shared" si="272"/>
        <v>0.49303889255108763</v>
      </c>
      <c r="CA179" s="54">
        <f t="shared" si="272"/>
        <v>0.47878765176956861</v>
      </c>
      <c r="CB179" s="54">
        <f t="shared" si="272"/>
        <v>0.48007327896378027</v>
      </c>
      <c r="CC179" s="54">
        <f t="shared" si="272"/>
        <v>0.48046895670057255</v>
      </c>
      <c r="CD179" s="54">
        <f t="shared" si="272"/>
        <v>0.49606017934234431</v>
      </c>
      <c r="CE179" s="96">
        <f t="shared" si="272"/>
        <v>0.48353889255108762</v>
      </c>
      <c r="CF179" s="54">
        <f t="shared" si="272"/>
        <v>0.4697876517695686</v>
      </c>
      <c r="CG179" s="54">
        <f t="shared" si="272"/>
        <v>0.47107327896378032</v>
      </c>
      <c r="CH179" s="54">
        <f t="shared" si="272"/>
        <v>0.47146895670057254</v>
      </c>
      <c r="CI179" s="54">
        <f t="shared" si="272"/>
        <v>0.48710283577784358</v>
      </c>
      <c r="CJ179" s="96">
        <f t="shared" si="272"/>
        <v>0.47453889255108761</v>
      </c>
      <c r="CK179" s="54">
        <f t="shared" si="272"/>
        <v>0.46578765176956854</v>
      </c>
      <c r="CL179" s="54">
        <f t="shared" si="272"/>
        <v>0.46707327896378031</v>
      </c>
      <c r="CM179" s="54">
        <f t="shared" si="272"/>
        <v>0.46746895670057254</v>
      </c>
      <c r="CN179" s="54">
        <f t="shared" si="272"/>
        <v>0.48313119415858419</v>
      </c>
      <c r="CO179" s="96">
        <f t="shared" si="272"/>
        <v>0.47053889255108761</v>
      </c>
      <c r="CP179" s="54">
        <f t="shared" si="272"/>
        <v>0.4632876517695686</v>
      </c>
      <c r="CQ179" s="54">
        <f t="shared" si="272"/>
        <v>0.4645732789637802</v>
      </c>
      <c r="CR179" s="54">
        <f t="shared" si="272"/>
        <v>0.46496895670057253</v>
      </c>
      <c r="CS179" s="54">
        <f t="shared" si="272"/>
        <v>0.48065353390411047</v>
      </c>
      <c r="CT179" s="96">
        <f t="shared" si="272"/>
        <v>0.4680388925510876</v>
      </c>
      <c r="CU179" s="54">
        <f t="shared" si="272"/>
        <v>0.46078765176956865</v>
      </c>
      <c r="CV179" s="54">
        <f t="shared" si="272"/>
        <v>0.46207327896378031</v>
      </c>
      <c r="CW179" s="54">
        <f t="shared" si="272"/>
        <v>0.46246895670057253</v>
      </c>
      <c r="CX179" s="54">
        <f t="shared" si="272"/>
        <v>0.47817382423394089</v>
      </c>
      <c r="CY179" s="96">
        <f t="shared" si="272"/>
        <v>0.46553889255108755</v>
      </c>
      <c r="CZ179" s="92"/>
      <c r="DA179" s="730"/>
      <c r="DB179" s="748"/>
      <c r="DC179" s="748"/>
      <c r="DD179" s="730"/>
      <c r="DF179" s="730"/>
      <c r="DG179" s="748"/>
      <c r="DH179" s="748"/>
      <c r="DI179" s="730"/>
      <c r="DJ179" s="730"/>
      <c r="DK179" s="730"/>
      <c r="DL179" s="747"/>
      <c r="DM179" s="747"/>
      <c r="DN179" s="747"/>
      <c r="DU179" s="48"/>
      <c r="DV179" s="48"/>
      <c r="DW179" s="730"/>
      <c r="DX179" s="730"/>
      <c r="DY179" s="730"/>
      <c r="DZ179" s="730"/>
      <c r="EA179" s="730"/>
    </row>
    <row r="180" spans="1:131" x14ac:dyDescent="0.2">
      <c r="A180" s="48" t="s">
        <v>174</v>
      </c>
      <c r="B180" s="48"/>
      <c r="C180" s="48"/>
      <c r="D180" s="242"/>
      <c r="E180" s="242"/>
      <c r="F180" s="242"/>
      <c r="G180" s="242"/>
      <c r="H180" s="96">
        <f t="shared" ref="H180:AM180" si="274">+H20</f>
        <v>0.12548162079721295</v>
      </c>
      <c r="I180" s="54">
        <f t="shared" si="274"/>
        <v>0.14023325658763844</v>
      </c>
      <c r="J180" s="54">
        <f t="shared" si="274"/>
        <v>0.12763985607667164</v>
      </c>
      <c r="K180" s="54">
        <f t="shared" si="274"/>
        <v>0.11830312118049829</v>
      </c>
      <c r="L180" s="54">
        <f t="shared" si="274"/>
        <v>0.13424164073544761</v>
      </c>
      <c r="M180" s="96">
        <f t="shared" si="274"/>
        <v>0.12968369508258801</v>
      </c>
      <c r="N180" s="54">
        <f t="shared" si="274"/>
        <v>0.14399905155786183</v>
      </c>
      <c r="O180" s="54">
        <f t="shared" si="274"/>
        <v>0.13414890948430272</v>
      </c>
      <c r="P180" s="54">
        <f t="shared" si="274"/>
        <v>0.12414174098334779</v>
      </c>
      <c r="Q180" s="54">
        <f t="shared" si="274"/>
        <v>0.1276839393071858</v>
      </c>
      <c r="R180" s="96">
        <f t="shared" si="274"/>
        <v>0.13226892581731292</v>
      </c>
      <c r="S180" s="54">
        <f t="shared" si="274"/>
        <v>0.13582489834760791</v>
      </c>
      <c r="T180" s="54">
        <f t="shared" si="274"/>
        <v>0.1308641975308642</v>
      </c>
      <c r="U180" s="54">
        <f t="shared" si="274"/>
        <v>0.1246002132196162</v>
      </c>
      <c r="V180" s="54">
        <f t="shared" si="274"/>
        <v>0.16844685694274211</v>
      </c>
      <c r="W180" s="96">
        <f t="shared" si="274"/>
        <v>0.13837129054520358</v>
      </c>
      <c r="X180" s="54">
        <f t="shared" si="274"/>
        <v>0.21193963604083443</v>
      </c>
      <c r="Y180" s="54">
        <f t="shared" si="274"/>
        <v>0.21185301366793635</v>
      </c>
      <c r="Z180" s="54">
        <f t="shared" si="274"/>
        <v>0.17985020094994522</v>
      </c>
      <c r="AA180" s="54">
        <f t="shared" si="274"/>
        <v>0.21845318860244234</v>
      </c>
      <c r="AB180" s="96">
        <f t="shared" si="274"/>
        <v>0.20413464086933475</v>
      </c>
      <c r="AC180" s="54">
        <f t="shared" si="274"/>
        <v>0.22333118694998924</v>
      </c>
      <c r="AD180" s="54">
        <f t="shared" si="274"/>
        <v>0.22362780972294827</v>
      </c>
      <c r="AE180" s="54">
        <f t="shared" si="274"/>
        <v>0.18968192397207126</v>
      </c>
      <c r="AF180" s="54">
        <f t="shared" si="274"/>
        <v>0.19276288940280231</v>
      </c>
      <c r="AG180" s="96">
        <f t="shared" si="274"/>
        <v>0.20776555573797406</v>
      </c>
      <c r="AH180" s="54">
        <f t="shared" si="274"/>
        <v>0.19315310763011623</v>
      </c>
      <c r="AI180" s="54">
        <f t="shared" si="274"/>
        <v>0.17974452554744524</v>
      </c>
      <c r="AJ180" s="54">
        <f t="shared" si="274"/>
        <v>0.1609800546724714</v>
      </c>
      <c r="AK180" s="54">
        <f t="shared" si="274"/>
        <v>0.21461831522505995</v>
      </c>
      <c r="AL180" s="96">
        <f t="shared" si="274"/>
        <v>0.18473609129814558</v>
      </c>
      <c r="AM180" s="54">
        <f t="shared" si="274"/>
        <v>0.21434920634920637</v>
      </c>
      <c r="AN180" s="54">
        <f t="shared" ref="AN180:BS180" si="275">+AN20</f>
        <v>0.19054242002781643</v>
      </c>
      <c r="AO180" s="54">
        <f t="shared" si="275"/>
        <v>0.18284354304635761</v>
      </c>
      <c r="AP180" s="54">
        <f t="shared" si="275"/>
        <v>0.21137984062631063</v>
      </c>
      <c r="AQ180" s="96">
        <f t="shared" si="275"/>
        <v>0.19840936374549811</v>
      </c>
      <c r="AR180" s="54">
        <f t="shared" si="275"/>
        <v>0.21359987407524003</v>
      </c>
      <c r="AS180" s="54">
        <f t="shared" si="275"/>
        <v>0.19487105186902345</v>
      </c>
      <c r="AT180" s="54">
        <f t="shared" si="275"/>
        <v>0.18681318681318682</v>
      </c>
      <c r="AU180" s="54">
        <f t="shared" si="275"/>
        <v>0.19566947938226398</v>
      </c>
      <c r="AV180" s="96">
        <f t="shared" si="275"/>
        <v>0.19741551444825375</v>
      </c>
      <c r="AW180" s="54">
        <f t="shared" si="275"/>
        <v>0.22337744171392568</v>
      </c>
      <c r="AX180" s="54">
        <f t="shared" si="275"/>
        <v>0.20901932712956334</v>
      </c>
      <c r="AY180" s="54">
        <f t="shared" si="275"/>
        <v>0.18424827226496282</v>
      </c>
      <c r="AZ180" s="54">
        <f t="shared" si="275"/>
        <v>0.18723954591176892</v>
      </c>
      <c r="BA180" s="96">
        <f t="shared" si="275"/>
        <v>0.20006437537999355</v>
      </c>
      <c r="BB180" s="54">
        <f t="shared" si="275"/>
        <v>0.2286902286902287</v>
      </c>
      <c r="BC180" s="54">
        <f t="shared" si="275"/>
        <v>0.16214549938347719</v>
      </c>
      <c r="BD180" s="54">
        <f t="shared" si="275"/>
        <v>0.16413773990161437</v>
      </c>
      <c r="BE180" s="54">
        <f t="shared" si="275"/>
        <v>0.16403345724907065</v>
      </c>
      <c r="BF180" s="96">
        <f t="shared" si="275"/>
        <v>0.17244283747971315</v>
      </c>
      <c r="BG180" s="54">
        <f t="shared" si="275"/>
        <v>0.17916120576671035</v>
      </c>
      <c r="BH180" s="54">
        <f t="shared" si="275"/>
        <v>0.17690967902463303</v>
      </c>
      <c r="BI180" s="54">
        <f t="shared" si="275"/>
        <v>0.16548816088225757</v>
      </c>
      <c r="BJ180" s="54">
        <f t="shared" si="275"/>
        <v>0.17902283982555992</v>
      </c>
      <c r="BK180" s="96">
        <f t="shared" si="275"/>
        <v>0.17503317850033176</v>
      </c>
      <c r="BL180" s="54">
        <f t="shared" si="275"/>
        <v>0.17869184086311532</v>
      </c>
      <c r="BM180" s="54">
        <f t="shared" si="275"/>
        <v>0.16695511711088032</v>
      </c>
      <c r="BN180" s="54">
        <f t="shared" si="275"/>
        <v>0.17287412374276134</v>
      </c>
      <c r="BO180" s="54">
        <f t="shared" si="275"/>
        <v>0.18202436495593569</v>
      </c>
      <c r="BP180" s="96">
        <f t="shared" si="275"/>
        <v>0.17491295583654023</v>
      </c>
      <c r="BQ180" s="54">
        <f t="shared" si="275"/>
        <v>0.17175980339779892</v>
      </c>
      <c r="BR180" s="54">
        <f t="shared" si="275"/>
        <v>0.17356026123095192</v>
      </c>
      <c r="BS180" s="54">
        <f t="shared" si="275"/>
        <v>0.19486329743164868</v>
      </c>
      <c r="BT180" s="54">
        <f t="shared" ref="BT180:CY180" si="276">+BT20</f>
        <v>0.17911547911547912</v>
      </c>
      <c r="BU180" s="96">
        <f t="shared" si="276"/>
        <v>0.17959489872468115</v>
      </c>
      <c r="BV180" s="54">
        <f t="shared" si="276"/>
        <v>0.17266856109532419</v>
      </c>
      <c r="BW180" s="54">
        <f t="shared" si="276"/>
        <v>0.16891340849124489</v>
      </c>
      <c r="BX180" s="54">
        <f t="shared" si="276"/>
        <v>0.20076705019176255</v>
      </c>
      <c r="BY180" s="623">
        <f t="shared" ref="BY180" si="277">+BY20</f>
        <v>0.18381561809842004</v>
      </c>
      <c r="BZ180" s="96">
        <f t="shared" si="276"/>
        <v>0.1808965062623599</v>
      </c>
      <c r="CA180" s="54">
        <f t="shared" si="276"/>
        <v>0.18158102902742423</v>
      </c>
      <c r="CB180" s="54">
        <f t="shared" si="276"/>
        <v>0.17288187898147028</v>
      </c>
      <c r="CC180" s="54">
        <f t="shared" si="276"/>
        <v>0.19981480330850837</v>
      </c>
      <c r="CD180" s="54">
        <f t="shared" si="276"/>
        <v>0.18598586103968059</v>
      </c>
      <c r="CE180" s="96">
        <f t="shared" si="276"/>
        <v>0.18459603368396479</v>
      </c>
      <c r="CF180" s="54">
        <f t="shared" si="276"/>
        <v>0.18054819850919537</v>
      </c>
      <c r="CG180" s="54">
        <f t="shared" si="276"/>
        <v>0.17180223274560105</v>
      </c>
      <c r="CH180" s="54">
        <f t="shared" si="276"/>
        <v>0.1994281171803369</v>
      </c>
      <c r="CI180" s="54">
        <f t="shared" si="276"/>
        <v>0.1854365980469555</v>
      </c>
      <c r="CJ180" s="96">
        <f t="shared" si="276"/>
        <v>0.18380133953360175</v>
      </c>
      <c r="CK180" s="54">
        <f t="shared" si="276"/>
        <v>0.17892579219630872</v>
      </c>
      <c r="CL180" s="54">
        <f t="shared" si="276"/>
        <v>0.17014660374706192</v>
      </c>
      <c r="CM180" s="54">
        <f t="shared" si="276"/>
        <v>0.19817055741821346</v>
      </c>
      <c r="CN180" s="54">
        <f t="shared" si="276"/>
        <v>0.18405699459746266</v>
      </c>
      <c r="CO180" s="96">
        <f t="shared" si="276"/>
        <v>0.18230239280077723</v>
      </c>
      <c r="CP180" s="54">
        <f t="shared" si="276"/>
        <v>0.17617599824815794</v>
      </c>
      <c r="CQ180" s="54">
        <f t="shared" si="276"/>
        <v>0.16737344324398756</v>
      </c>
      <c r="CR180" s="54">
        <f t="shared" si="276"/>
        <v>0.19576917913021333</v>
      </c>
      <c r="CS180" s="54">
        <f t="shared" si="276"/>
        <v>0.18156192986076364</v>
      </c>
      <c r="CT180" s="96">
        <f t="shared" si="276"/>
        <v>0.17967957045771801</v>
      </c>
      <c r="CU180" s="54">
        <f t="shared" si="276"/>
        <v>0.17460667176787054</v>
      </c>
      <c r="CV180" s="54">
        <f t="shared" si="276"/>
        <v>0.16577903676503025</v>
      </c>
      <c r="CW180" s="54">
        <f t="shared" si="276"/>
        <v>0.19442393959495916</v>
      </c>
      <c r="CX180" s="54">
        <f t="shared" si="276"/>
        <v>0.18012646280395647</v>
      </c>
      <c r="CY180" s="96">
        <f t="shared" si="276"/>
        <v>0.17817970602868557</v>
      </c>
      <c r="CZ180" s="92"/>
      <c r="DA180" s="730"/>
      <c r="DB180" s="748"/>
      <c r="DC180" s="748"/>
      <c r="DD180" s="730"/>
      <c r="DF180" s="730"/>
      <c r="DG180" s="748"/>
      <c r="DH180" s="748"/>
      <c r="DI180" s="730"/>
      <c r="DJ180" s="730"/>
      <c r="DK180" s="730"/>
      <c r="DL180" s="730"/>
      <c r="DM180" s="730"/>
      <c r="DN180" s="730"/>
      <c r="DU180" s="48"/>
      <c r="DV180" s="48"/>
      <c r="DW180" s="730"/>
      <c r="DX180" s="730"/>
      <c r="DY180" s="730"/>
      <c r="DZ180" s="730"/>
      <c r="EA180" s="730"/>
    </row>
    <row r="181" spans="1:131" x14ac:dyDescent="0.2">
      <c r="A181" s="48" t="s">
        <v>175</v>
      </c>
      <c r="B181" s="48"/>
      <c r="C181" s="48"/>
      <c r="D181" s="242"/>
      <c r="E181" s="242"/>
      <c r="F181" s="242"/>
      <c r="G181" s="242"/>
      <c r="H181" s="96">
        <f t="shared" ref="H181:AM181" si="278">H52</f>
        <v>0.35908268969961638</v>
      </c>
      <c r="I181" s="54">
        <f t="shared" si="278"/>
        <v>0.35986681512569058</v>
      </c>
      <c r="J181" s="54">
        <f t="shared" si="278"/>
        <v>0.36</v>
      </c>
      <c r="K181" s="54">
        <f t="shared" si="278"/>
        <v>0.35999715998941451</v>
      </c>
      <c r="L181" s="54">
        <f t="shared" si="278"/>
        <v>0.35958005249343827</v>
      </c>
      <c r="M181" s="96">
        <f t="shared" si="278"/>
        <v>0.35995924605196133</v>
      </c>
      <c r="N181" s="54">
        <f t="shared" si="278"/>
        <v>0.3567074547342759</v>
      </c>
      <c r="O181" s="54">
        <f t="shared" si="278"/>
        <v>0.3499956913409209</v>
      </c>
      <c r="P181" s="54">
        <f t="shared" si="278"/>
        <v>0.39322533136966092</v>
      </c>
      <c r="Q181" s="54">
        <f t="shared" si="278"/>
        <v>0.24826989619377154</v>
      </c>
      <c r="R181" s="96">
        <f t="shared" si="278"/>
        <v>0.34618695128249261</v>
      </c>
      <c r="S181" s="54">
        <f t="shared" si="278"/>
        <v>0.35989717223650369</v>
      </c>
      <c r="T181" s="54">
        <f t="shared" si="278"/>
        <v>0.36858006042296076</v>
      </c>
      <c r="U181" s="54">
        <f t="shared" si="278"/>
        <v>0.36146788990825712</v>
      </c>
      <c r="V181" s="54">
        <f t="shared" si="278"/>
        <v>0.32858273950910577</v>
      </c>
      <c r="W181" s="96">
        <f t="shared" si="278"/>
        <v>0.35636769869135032</v>
      </c>
      <c r="X181" s="54">
        <f t="shared" si="278"/>
        <v>0.38295165394402003</v>
      </c>
      <c r="Y181" s="54">
        <f t="shared" si="278"/>
        <v>0.34767932489451464</v>
      </c>
      <c r="Z181" s="54">
        <f t="shared" si="278"/>
        <v>0.37065837221358228</v>
      </c>
      <c r="AA181" s="54">
        <f t="shared" si="278"/>
        <v>0.15172413793103454</v>
      </c>
      <c r="AB181" s="96">
        <f t="shared" si="278"/>
        <v>0.3270440251572328</v>
      </c>
      <c r="AC181" s="54">
        <f t="shared" si="278"/>
        <v>0.36986301369862984</v>
      </c>
      <c r="AD181" s="54">
        <f t="shared" si="278"/>
        <v>0.29083094555873923</v>
      </c>
      <c r="AE181" s="54">
        <f t="shared" si="278"/>
        <v>0.3903002309468821</v>
      </c>
      <c r="AF181" s="54">
        <f t="shared" si="278"/>
        <v>0.40585241730279886</v>
      </c>
      <c r="AG181" s="96">
        <f t="shared" si="278"/>
        <v>0.3630099728014507</v>
      </c>
      <c r="AH181" s="54">
        <f t="shared" si="278"/>
        <v>0.39061190276613572</v>
      </c>
      <c r="AI181" s="54">
        <f t="shared" si="278"/>
        <v>0.31074095347501429</v>
      </c>
      <c r="AJ181" s="54">
        <f t="shared" si="278"/>
        <v>0.35373054213633937</v>
      </c>
      <c r="AK181" s="54">
        <f t="shared" si="278"/>
        <v>0.36</v>
      </c>
      <c r="AL181" s="96">
        <f t="shared" si="278"/>
        <v>0.34859389627410603</v>
      </c>
      <c r="AM181" s="54">
        <f t="shared" si="278"/>
        <v>0.24399999999999999</v>
      </c>
      <c r="AN181" s="54">
        <f t="shared" ref="AN181:BS181" si="279">AN52</f>
        <v>0.34553089382123581</v>
      </c>
      <c r="AO181" s="54">
        <f t="shared" si="279"/>
        <v>0.28751258811681774</v>
      </c>
      <c r="AP181" s="54">
        <f t="shared" si="279"/>
        <v>0.30890538033395176</v>
      </c>
      <c r="AQ181" s="96">
        <f t="shared" si="279"/>
        <v>0.29987439945092664</v>
      </c>
      <c r="AR181" s="54">
        <f t="shared" si="279"/>
        <v>0.36956521739130432</v>
      </c>
      <c r="AS181" s="54">
        <f t="shared" si="279"/>
        <v>3.115814226925338E-2</v>
      </c>
      <c r="AT181" s="54">
        <f t="shared" si="279"/>
        <v>0.36921151439299121</v>
      </c>
      <c r="AU181" s="54" t="str">
        <f t="shared" si="279"/>
        <v>-</v>
      </c>
      <c r="AV181" s="96">
        <f t="shared" si="279"/>
        <v>0.1697021276595744</v>
      </c>
      <c r="AW181" s="54">
        <f t="shared" si="279"/>
        <v>0.36401673640167365</v>
      </c>
      <c r="AX181" s="54">
        <f t="shared" si="279"/>
        <v>0.16293929712460065</v>
      </c>
      <c r="AY181" s="54">
        <f t="shared" si="279"/>
        <v>0.27771010962241172</v>
      </c>
      <c r="AZ181" s="54">
        <f t="shared" si="279"/>
        <v>0.26882591093117414</v>
      </c>
      <c r="BA181" s="96">
        <f t="shared" si="279"/>
        <v>0.26219620365442614</v>
      </c>
      <c r="BB181" s="54">
        <f t="shared" si="279"/>
        <v>0.36190476190476201</v>
      </c>
      <c r="BC181" s="54">
        <f t="shared" si="279"/>
        <v>0.28872973991707501</v>
      </c>
      <c r="BD181" s="54">
        <f t="shared" si="279"/>
        <v>0.28411338167435729</v>
      </c>
      <c r="BE181" s="54">
        <f t="shared" si="279"/>
        <v>0.34847266881028921</v>
      </c>
      <c r="BF181" s="96">
        <f t="shared" si="279"/>
        <v>0.3122186495176848</v>
      </c>
      <c r="BG181" s="54">
        <f t="shared" si="279"/>
        <v>0.32475682459993721</v>
      </c>
      <c r="BH181" s="54">
        <f t="shared" si="279"/>
        <v>0.32275777913361831</v>
      </c>
      <c r="BI181" s="54">
        <f t="shared" si="279"/>
        <v>0.29158345221112686</v>
      </c>
      <c r="BJ181" s="54">
        <f t="shared" si="279"/>
        <v>0.23165307635285395</v>
      </c>
      <c r="BK181" s="96">
        <f t="shared" si="279"/>
        <v>0.29523208083359648</v>
      </c>
      <c r="BL181" s="54">
        <f t="shared" si="279"/>
        <v>0.31797723060630134</v>
      </c>
      <c r="BM181" s="54">
        <f t="shared" si="279"/>
        <v>0.24634261444077382</v>
      </c>
      <c r="BN181" s="54">
        <f t="shared" si="279"/>
        <v>0.32257309941520468</v>
      </c>
      <c r="BO181" s="54">
        <f t="shared" si="279"/>
        <v>0.29773833381047804</v>
      </c>
      <c r="BP181" s="96">
        <f t="shared" si="279"/>
        <v>0.29550782487486538</v>
      </c>
      <c r="BQ181" s="54">
        <f t="shared" si="279"/>
        <v>0.3162650602409639</v>
      </c>
      <c r="BR181" s="54">
        <f t="shared" si="279"/>
        <v>0.31819045808781599</v>
      </c>
      <c r="BS181" s="54">
        <f t="shared" si="279"/>
        <v>0.16427829698857738</v>
      </c>
      <c r="BT181" s="54">
        <f t="shared" ref="BT181:CY181" si="280">BT52</f>
        <v>0.26923076923076916</v>
      </c>
      <c r="BU181" s="96">
        <f t="shared" si="280"/>
        <v>0.26768905341089366</v>
      </c>
      <c r="BV181" s="54">
        <f>BV52</f>
        <v>0.19393319700068168</v>
      </c>
      <c r="BW181" s="54">
        <f t="shared" si="280"/>
        <v>0.20534436138062659</v>
      </c>
      <c r="BX181" s="54">
        <f t="shared" si="280"/>
        <v>0.18905969255340388</v>
      </c>
      <c r="BY181" s="623">
        <f t="shared" ref="BY181" si="281">BY52</f>
        <v>0.16695690030474533</v>
      </c>
      <c r="BZ181" s="96">
        <f t="shared" si="280"/>
        <v>0.19041272175751447</v>
      </c>
      <c r="CA181" s="54">
        <f t="shared" si="280"/>
        <v>0.19</v>
      </c>
      <c r="CB181" s="54">
        <f t="shared" si="280"/>
        <v>0.19</v>
      </c>
      <c r="CC181" s="54">
        <f t="shared" si="280"/>
        <v>0.19</v>
      </c>
      <c r="CD181" s="54">
        <f ca="1">CD52</f>
        <v>0.18999999999999967</v>
      </c>
      <c r="CE181" s="96">
        <f t="shared" si="280"/>
        <v>0.19</v>
      </c>
      <c r="CF181" s="54">
        <f t="shared" si="280"/>
        <v>0.19</v>
      </c>
      <c r="CG181" s="54">
        <f t="shared" si="280"/>
        <v>0.19</v>
      </c>
      <c r="CH181" s="54">
        <f t="shared" si="280"/>
        <v>0.19</v>
      </c>
      <c r="CI181" s="54">
        <f ca="1">CI52</f>
        <v>0.18999999999999997</v>
      </c>
      <c r="CJ181" s="96">
        <f t="shared" si="280"/>
        <v>0.19</v>
      </c>
      <c r="CK181" s="54">
        <f t="shared" si="280"/>
        <v>0.19</v>
      </c>
      <c r="CL181" s="54">
        <f t="shared" si="280"/>
        <v>0.19</v>
      </c>
      <c r="CM181" s="54">
        <f t="shared" si="280"/>
        <v>0.19</v>
      </c>
      <c r="CN181" s="54">
        <f ca="1">CN52</f>
        <v>0.1900000000000002</v>
      </c>
      <c r="CO181" s="96">
        <f t="shared" si="280"/>
        <v>0.19</v>
      </c>
      <c r="CP181" s="54">
        <f t="shared" si="280"/>
        <v>0.19</v>
      </c>
      <c r="CQ181" s="54">
        <f t="shared" si="280"/>
        <v>0.19</v>
      </c>
      <c r="CR181" s="54">
        <f t="shared" si="280"/>
        <v>0.19</v>
      </c>
      <c r="CS181" s="54">
        <f ca="1">CS52</f>
        <v>0.19000000000000042</v>
      </c>
      <c r="CT181" s="96">
        <f t="shared" si="280"/>
        <v>0.19</v>
      </c>
      <c r="CU181" s="54">
        <f t="shared" si="280"/>
        <v>0.19</v>
      </c>
      <c r="CV181" s="54">
        <f t="shared" si="280"/>
        <v>0.19</v>
      </c>
      <c r="CW181" s="54">
        <f t="shared" si="280"/>
        <v>0.19</v>
      </c>
      <c r="CX181" s="54">
        <f ca="1">CX52</f>
        <v>0.18999999999999972</v>
      </c>
      <c r="CY181" s="96">
        <f t="shared" si="280"/>
        <v>0.19</v>
      </c>
      <c r="CZ181" s="92"/>
      <c r="DA181" s="730"/>
      <c r="DB181" s="748"/>
      <c r="DC181" s="748"/>
      <c r="DD181" s="730"/>
      <c r="DF181" s="730"/>
      <c r="DG181" s="748"/>
      <c r="DH181" s="748"/>
      <c r="DI181" s="730"/>
      <c r="DJ181" s="730"/>
      <c r="DK181" s="730"/>
      <c r="DL181" s="730"/>
      <c r="DM181" s="730"/>
      <c r="DN181" s="730"/>
      <c r="DU181" s="48"/>
      <c r="DV181" s="48"/>
      <c r="DW181" s="730"/>
      <c r="DX181" s="730"/>
      <c r="DY181" s="730"/>
      <c r="DZ181" s="730"/>
      <c r="EA181" s="730"/>
    </row>
    <row r="182" spans="1:131" x14ac:dyDescent="0.2">
      <c r="A182" s="243" t="s">
        <v>176</v>
      </c>
      <c r="B182" s="243"/>
      <c r="C182" s="243"/>
      <c r="D182" s="95"/>
      <c r="E182" s="95"/>
      <c r="F182" s="95"/>
      <c r="G182" s="95"/>
      <c r="H182" s="96">
        <f>+H93/H5</f>
        <v>1.0480791049106413E-2</v>
      </c>
      <c r="I182" s="95">
        <f>+I93/I5/4</f>
        <v>3.0850151783933014E-3</v>
      </c>
      <c r="J182" s="95">
        <f>+J93/J5/4</f>
        <v>2.3550038044594631E-3</v>
      </c>
      <c r="K182" s="95">
        <f>+K93/K5/4</f>
        <v>2.9367852034289051E-3</v>
      </c>
      <c r="L182" s="95">
        <f>+L93/L5/4</f>
        <v>4.2486563789835225E-3</v>
      </c>
      <c r="M182" s="96">
        <f>+M93/M5</f>
        <v>4.3142274340340321E-3</v>
      </c>
      <c r="N182" s="95">
        <f>+N93/N5/4</f>
        <v>4.3737773988062403E-3</v>
      </c>
      <c r="O182" s="95">
        <f>+O93/O5/4</f>
        <v>3.9151933917190105E-3</v>
      </c>
      <c r="P182" s="95">
        <f>+P93/P5/4</f>
        <v>5.2036145529161066E-3</v>
      </c>
      <c r="Q182" s="95">
        <f>+Q93/Q5/4</f>
        <v>2.5951903807615228E-3</v>
      </c>
      <c r="R182" s="96">
        <f>+R93/R5</f>
        <v>2.3629846855653309E-3</v>
      </c>
      <c r="S182" s="95">
        <f>+S93/S5/4</f>
        <v>8.1105631975084344E-3</v>
      </c>
      <c r="T182" s="95">
        <f>+T93/T5/4</f>
        <v>7.4426807760141099E-3</v>
      </c>
      <c r="U182" s="95">
        <f>+U93/U5/4</f>
        <v>5.7802505330490413E-3</v>
      </c>
      <c r="V182" s="95">
        <f>+V93/V5/4</f>
        <v>7.3323410961302756E-3</v>
      </c>
      <c r="W182" s="96">
        <f>+W93/W5</f>
        <v>6.4220535235027989E-3</v>
      </c>
      <c r="X182" s="95">
        <f>+X93/X5/4</f>
        <v>9.2931646693297822E-3</v>
      </c>
      <c r="Y182" s="95">
        <f>+Y93/Y5/4</f>
        <v>9.2986780192695507E-3</v>
      </c>
      <c r="Z182" s="95">
        <f>+Z93/Z5/4</f>
        <v>5.6859700401899888E-3</v>
      </c>
      <c r="AA182" s="95">
        <f>+AA93/AA5/4</f>
        <v>5.794889190411579E-3</v>
      </c>
      <c r="AB182" s="96">
        <f>+AB93/AB5</f>
        <v>5.4333421680360459E-3</v>
      </c>
      <c r="AC182" s="95">
        <f>+AC93/AC5/4</f>
        <v>6.7611075338055368E-3</v>
      </c>
      <c r="AD182" s="95">
        <f>+AD93/AD5/4</f>
        <v>6.5081024568740195E-3</v>
      </c>
      <c r="AE182" s="95">
        <f>+AE93/AE5/4</f>
        <v>4.3953646237393326E-2</v>
      </c>
      <c r="AF182" s="95">
        <f>+AF93/AF5/4</f>
        <v>4.4551761665079575E-3</v>
      </c>
      <c r="AG182" s="96">
        <f>+AG93/AG5</f>
        <v>3.5845236140754117E-3</v>
      </c>
      <c r="AH182" s="95">
        <f>+AH93/AH5/4</f>
        <v>5.3057099545224858E-3</v>
      </c>
      <c r="AI182" s="95">
        <f>+AI93/AI5/4</f>
        <v>5.6170164233576639E-3</v>
      </c>
      <c r="AJ182" s="95">
        <f>+AJ93/AJ5/4</f>
        <v>1.273159866356181E-2</v>
      </c>
      <c r="AK182" s="95">
        <f>+AK93/AK5/4</f>
        <v>1.5344997883448567E-2</v>
      </c>
      <c r="AL182" s="96">
        <f>+AL93/AL5</f>
        <v>1.2927960057061341E-2</v>
      </c>
      <c r="AM182" s="95">
        <f>+AM93/AM5/4</f>
        <v>6.6349206349206342E-3</v>
      </c>
      <c r="AN182" s="95">
        <f>+AN93/AN5/4</f>
        <v>4.0275846082522028E-3</v>
      </c>
      <c r="AO182" s="95">
        <f>+AO93/AO5/4</f>
        <v>4.1390728476821195E-3</v>
      </c>
      <c r="AP182" s="95">
        <f>+AP93/AP5/4</f>
        <v>3.2154340836012861E-3</v>
      </c>
      <c r="AQ182" s="96">
        <f>+AQ93/AQ5</f>
        <v>2.7611044417767106E-3</v>
      </c>
      <c r="AR182" s="95">
        <f>+AR93/AR5/4</f>
        <v>5.2730993231544154E-3</v>
      </c>
      <c r="AS182" s="95">
        <f>+AS93/AS5/4</f>
        <v>3.6221385105766443E-3</v>
      </c>
      <c r="AT182" s="95">
        <f>+AT93/AT5/4</f>
        <v>1.9908662765805621E-2</v>
      </c>
      <c r="AU182" s="95">
        <f>+AU93/AU5/4</f>
        <v>3.4150612959719787E-2</v>
      </c>
      <c r="AV182" s="96">
        <f>+AV93/AV5</f>
        <v>3.2324906755076661E-2</v>
      </c>
      <c r="AW182" s="95">
        <f>+AW93/AW5/4</f>
        <v>2.7213295526149969E-2</v>
      </c>
      <c r="AX182" s="95">
        <f>+AX93/AX5/4</f>
        <v>6.3886900501073735E-2</v>
      </c>
      <c r="AY182" s="95">
        <f>+AY93/AY5/4</f>
        <v>6.5360542443604119E-2</v>
      </c>
      <c r="AZ182" s="95">
        <f>+AZ93/AZ5/4</f>
        <v>0.11909038654979164</v>
      </c>
      <c r="BA182" s="96">
        <f>+BA93/BA5</f>
        <v>0.11855799148814421</v>
      </c>
      <c r="BB182" s="95">
        <f>+BB93/BB5/4</f>
        <v>0.22620285120285119</v>
      </c>
      <c r="BC182" s="95">
        <f>+BC93/BC5/4</f>
        <v>2.000274010138375E-2</v>
      </c>
      <c r="BD182" s="95">
        <f>+BD93/BD5/4</f>
        <v>1.1293563361740457E-2</v>
      </c>
      <c r="BE182" s="95">
        <f>+BE93/BE5/4</f>
        <v>1.2372211895910781E-2</v>
      </c>
      <c r="BF182" s="96">
        <f>+BF93/BF5</f>
        <v>1.3127349672329848E-2</v>
      </c>
      <c r="BG182" s="95">
        <f>+BG93/BG5/4</f>
        <v>6.1926605504587159E-2</v>
      </c>
      <c r="BH182" s="95">
        <f>+BH93/BH5/4</f>
        <v>1.6219830803682507E-2</v>
      </c>
      <c r="BI182" s="95">
        <f>+BI93/BI5/4</f>
        <v>1.0914693480376256E-2</v>
      </c>
      <c r="BJ182" s="95">
        <f>+BJ93/BJ5/4</f>
        <v>2.0345184418656216E-2</v>
      </c>
      <c r="BK182" s="96">
        <f>+BK93/BK5</f>
        <v>1.8264764432647643E-2</v>
      </c>
      <c r="BL182" s="95">
        <f>+BL93/BL5/4</f>
        <v>2.0030037393489852E-2</v>
      </c>
      <c r="BM182" s="95">
        <f>+BM93/BM5/4</f>
        <v>4.7551055728625821E-2</v>
      </c>
      <c r="BN182" s="95">
        <f>+BN93/BN5/4</f>
        <v>7.4870466321243528E-2</v>
      </c>
      <c r="BO182" s="95">
        <f>+BO93/BO5/4</f>
        <v>1.3462286158631414E-2</v>
      </c>
      <c r="BP182" s="96">
        <f>+BP93/BP5</f>
        <v>1.2690122778083195E-2</v>
      </c>
      <c r="BQ182" s="95">
        <f>+BQ93/BQ5/4</f>
        <v>2.2344801795063578E-2</v>
      </c>
      <c r="BR182" s="95">
        <f>+BR93/BR5/4</f>
        <v>2.1930041559469624E-2</v>
      </c>
      <c r="BS182" s="95">
        <f>+BS93/BS5/4</f>
        <v>2.7243855288594312E-2</v>
      </c>
      <c r="BT182" s="95">
        <f>+BT93/BT5/4</f>
        <v>2.7242014742014743E-2</v>
      </c>
      <c r="BU182" s="96">
        <f>+BU93/BU5</f>
        <v>2.4196958330491715E-2</v>
      </c>
      <c r="BV182" s="95">
        <f>+BV93/BV5/4</f>
        <v>2.5716869026091448E-2</v>
      </c>
      <c r="BW182" s="95">
        <f>+BW93/BW5/4</f>
        <v>1.5063564403933796E-2</v>
      </c>
      <c r="BX182" s="95">
        <f>+BX93/BX5/4</f>
        <v>2.1469067867266968E-2</v>
      </c>
      <c r="BY182" s="95">
        <f>+BY93/BY5/4</f>
        <v>1.2783849595107309E-2</v>
      </c>
      <c r="BZ182" s="96">
        <f>+BZ93/BZ5</f>
        <v>1.1905075807514832E-2</v>
      </c>
      <c r="CA182" s="95">
        <f>+CA93/CA5/4</f>
        <v>1.090258684133753E-2</v>
      </c>
      <c r="CB182" s="95">
        <f>+CB93/CB5/4</f>
        <v>1.0001097077155257E-2</v>
      </c>
      <c r="CC182" s="95">
        <f>+CC93/CC5/4</f>
        <v>1.1432481595552439E-2</v>
      </c>
      <c r="CD182" s="95">
        <f>+CD93/CD5/4</f>
        <v>1.1915490376538251E-2</v>
      </c>
      <c r="CE182" s="96">
        <f>+CE93/CE5</f>
        <v>1.1016102641368142E-2</v>
      </c>
      <c r="CF182" s="95">
        <f>+CF93/CF5/4</f>
        <v>1.0221982603568764E-2</v>
      </c>
      <c r="CG182" s="95">
        <f>+CG93/CG5/4</f>
        <v>9.3783312463946323E-3</v>
      </c>
      <c r="CH182" s="95">
        <f>+CH93/CH5/4</f>
        <v>1.0762392479338218E-2</v>
      </c>
      <c r="CI182" s="95">
        <f>+CI93/CI5/4</f>
        <v>1.1221945247351576E-2</v>
      </c>
      <c r="CJ182" s="96">
        <f>+CJ93/CJ5</f>
        <v>1.0349705916728793E-2</v>
      </c>
      <c r="CK182" s="95">
        <f>+CK93/CK5/4</f>
        <v>9.6916669816306637E-3</v>
      </c>
      <c r="CL182" s="95">
        <f>+CL93/CL5/4</f>
        <v>8.8927617302125509E-3</v>
      </c>
      <c r="CM182" s="95">
        <f>+CM93/CM5/4</f>
        <v>1.0231498957577672E-2</v>
      </c>
      <c r="CN182" s="95">
        <f>+CN93/CN5/4</f>
        <v>1.0671450729912166E-2</v>
      </c>
      <c r="CO182" s="96">
        <f>+CO93/CO5</f>
        <v>9.826131739742958E-3</v>
      </c>
      <c r="CP182" s="95">
        <f>+CP93/CP5/4</f>
        <v>9.2324398149978403E-3</v>
      </c>
      <c r="CQ182" s="95">
        <f>+CQ93/CQ5/4</f>
        <v>8.4721195020740908E-3</v>
      </c>
      <c r="CR182" s="95">
        <f>+CR93/CR5/4</f>
        <v>9.7672878747368259E-3</v>
      </c>
      <c r="CS182" s="95">
        <f>+CS93/CS5/4</f>
        <v>1.0189585967882523E-2</v>
      </c>
      <c r="CT182" s="96">
        <f>+CT93/CT5</f>
        <v>9.3705359008256477E-3</v>
      </c>
      <c r="CU182" s="95">
        <f>+CU93/CU5/4</f>
        <v>8.8296266624731824E-3</v>
      </c>
      <c r="CV182" s="95">
        <f>+CV93/CV5/4</f>
        <v>8.1031105234576368E-3</v>
      </c>
      <c r="CW182" s="95">
        <f>+CW93/CW5/4</f>
        <v>9.3590212663640943E-3</v>
      </c>
      <c r="CX182" s="95">
        <f>+CX93/CX5/4</f>
        <v>9.7656755740629479E-3</v>
      </c>
      <c r="CY182" s="96">
        <f>+CY93/CY5</f>
        <v>8.970365324040901E-3</v>
      </c>
      <c r="CZ182" s="92"/>
      <c r="DA182" s="751"/>
      <c r="DB182" s="750"/>
      <c r="DC182" s="750"/>
      <c r="DD182" s="751"/>
      <c r="DE182" s="752"/>
      <c r="DF182" s="751"/>
      <c r="DG182" s="750"/>
      <c r="DH182" s="750"/>
      <c r="DI182" s="751"/>
      <c r="DJ182" s="751"/>
      <c r="DK182" s="751"/>
      <c r="DL182" s="751"/>
      <c r="DM182" s="751"/>
      <c r="DN182" s="751"/>
      <c r="DU182" s="243"/>
      <c r="DV182" s="243"/>
      <c r="DW182" s="751"/>
      <c r="DX182" s="751"/>
      <c r="DY182" s="751"/>
      <c r="DZ182" s="751"/>
      <c r="EA182" s="751"/>
    </row>
    <row r="183" spans="1:131" x14ac:dyDescent="0.2">
      <c r="A183" s="243" t="s">
        <v>177</v>
      </c>
      <c r="B183" s="243"/>
      <c r="C183" s="243"/>
      <c r="D183" s="95"/>
      <c r="E183" s="95"/>
      <c r="F183" s="95"/>
      <c r="G183" s="95"/>
      <c r="H183" s="98">
        <f>+H94/H5</f>
        <v>0.17947112871707396</v>
      </c>
      <c r="I183" s="95">
        <f>+I94/I5/4</f>
        <v>0.19191285499377231</v>
      </c>
      <c r="J183" s="95">
        <f>+J94/J5/4</f>
        <v>0.19024250174310786</v>
      </c>
      <c r="K183" s="95">
        <f>+K94/K5/4</f>
        <v>0.20869204604171829</v>
      </c>
      <c r="L183" s="95">
        <f>+L94/L5/4</f>
        <v>0.20469730100098199</v>
      </c>
      <c r="M183" s="98">
        <f>+M94/M5</f>
        <v>0.20785646869903843</v>
      </c>
      <c r="N183" s="95">
        <f>+N94/N5/4</f>
        <v>0.18745936062232396</v>
      </c>
      <c r="O183" s="95">
        <f>+O94/O5/4</f>
        <v>0.18680151750186039</v>
      </c>
      <c r="P183" s="95">
        <f>+P94/P5/4</f>
        <v>0.19128876963144187</v>
      </c>
      <c r="Q183" s="95">
        <f>+Q94/Q5/4</f>
        <v>0.1841480580208035</v>
      </c>
      <c r="R183" s="98">
        <f>+R94/R5</f>
        <v>0.16767133702617573</v>
      </c>
      <c r="S183" s="95">
        <f>+S94/S5/4</f>
        <v>0.18474781555497879</v>
      </c>
      <c r="T183" s="95">
        <f>+T94/T5/4</f>
        <v>0.18031746031746032</v>
      </c>
      <c r="U183" s="95">
        <f>+U94/U5/4</f>
        <v>0.19316364605543709</v>
      </c>
      <c r="V183" s="95">
        <f>+V94/V5/4</f>
        <v>0.19282962703554546</v>
      </c>
      <c r="W183" s="98">
        <f>+W94/W5</f>
        <v>0.16889042251361094</v>
      </c>
      <c r="X183" s="95">
        <f>+X94/X5/4</f>
        <v>0.21191189525077672</v>
      </c>
      <c r="Y183" s="95">
        <f>+Y94/Y5/4</f>
        <v>0.21972328030472776</v>
      </c>
      <c r="Z183" s="95">
        <f>+Z94/Z5/4</f>
        <v>0.21430854950675923</v>
      </c>
      <c r="AA183" s="95">
        <f>+AA94/AA5/4</f>
        <v>0.20680687471732248</v>
      </c>
      <c r="AB183" s="98">
        <f>+AB94/AB5</f>
        <v>0.19390405512854494</v>
      </c>
      <c r="AC183" s="95">
        <f>+AC94/AC5/4</f>
        <v>0.2122504829362524</v>
      </c>
      <c r="AD183" s="95">
        <f>+AD94/AD5/4</f>
        <v>0.20279665446941975</v>
      </c>
      <c r="AE183" s="95">
        <f>+AE94/AE5/4</f>
        <v>0.19719743987587277</v>
      </c>
      <c r="AF183" s="95">
        <f>+AF94/AF5/4</f>
        <v>0.17841110053054007</v>
      </c>
      <c r="AG183" s="98">
        <f>+AG94/AG5</f>
        <v>0.14354512121709628</v>
      </c>
      <c r="AH183" s="95">
        <f>+AH94/AH5/4</f>
        <v>0.22609272359777663</v>
      </c>
      <c r="AI183" s="95">
        <f>+AI94/AI5/4</f>
        <v>0.22448106751824815</v>
      </c>
      <c r="AJ183" s="95">
        <f>+AJ94/AJ5/4</f>
        <v>0.22823225675812497</v>
      </c>
      <c r="AK183" s="95">
        <f>+AK94/AK5/4</f>
        <v>0.18156483702553972</v>
      </c>
      <c r="AL183" s="98">
        <f>+AL94/AL5</f>
        <v>0.15296600095102236</v>
      </c>
      <c r="AM183" s="95">
        <f>+AM94/AM5/4</f>
        <v>0.20206349206349206</v>
      </c>
      <c r="AN183" s="95">
        <f>+AN94/AN5/4</f>
        <v>0.20882591562355124</v>
      </c>
      <c r="AO183" s="95">
        <f>+AO94/AO5/4</f>
        <v>0.22477752483443708</v>
      </c>
      <c r="AP183" s="95">
        <f>+AP94/AP5/4</f>
        <v>0.14588284635817139</v>
      </c>
      <c r="AQ183" s="98">
        <f>+AQ94/AQ5</f>
        <v>0.12527010804321728</v>
      </c>
      <c r="AR183" s="95">
        <f>+AR94/AR5/4</f>
        <v>0.18074138202424053</v>
      </c>
      <c r="AS183" s="95">
        <f>+AS94/AS5/4</f>
        <v>0.18172268907563024</v>
      </c>
      <c r="AT183" s="95">
        <f>+AT94/AT5/4</f>
        <v>0.20308263165406024</v>
      </c>
      <c r="AU183" s="95">
        <f>+AU94/AU5/4</f>
        <v>0.17417608661041237</v>
      </c>
      <c r="AV183" s="98">
        <f>+AV94/AV5</f>
        <v>0.16486455939419056</v>
      </c>
      <c r="AW183" s="95">
        <f>+AW94/AW5/4</f>
        <v>0.18029300567107753</v>
      </c>
      <c r="AX183" s="95">
        <f>+AX94/AX5/4</f>
        <v>0.1743378668575519</v>
      </c>
      <c r="AY183" s="95">
        <f>+AY94/AY5/4</f>
        <v>0.17573999217629419</v>
      </c>
      <c r="AZ183" s="95">
        <f>+AZ94/AZ5/4</f>
        <v>0.16952866791205634</v>
      </c>
      <c r="BA183" s="98">
        <f>+BA94/BA5</f>
        <v>0.16877078788312291</v>
      </c>
      <c r="BB183" s="95">
        <f>+BB94/BB5/4</f>
        <v>0.16847341847341848</v>
      </c>
      <c r="BC183" s="95">
        <f>+BC94/BC5/4</f>
        <v>0.1123270311001507</v>
      </c>
      <c r="BD183" s="95">
        <f>+BD94/BD5/4</f>
        <v>0.11584563153883461</v>
      </c>
      <c r="BE183" s="95">
        <f>+BE94/BE5/4</f>
        <v>0.12124380421313508</v>
      </c>
      <c r="BF183" s="98">
        <f>+BF94/BF5</f>
        <v>0.12864391807219017</v>
      </c>
      <c r="BG183" s="95">
        <f>+BG94/BG5/4</f>
        <v>0.1067005242463958</v>
      </c>
      <c r="BH183" s="95">
        <f>+BH94/BH5/4</f>
        <v>0.1021553869121672</v>
      </c>
      <c r="BI183" s="95">
        <f>+BI94/BI5/4</f>
        <v>0.11373662017515407</v>
      </c>
      <c r="BJ183" s="95">
        <f>+BJ94/BJ5/4</f>
        <v>0.11066967255525167</v>
      </c>
      <c r="BK183" s="98">
        <f>+BK94/BK5</f>
        <v>9.9353019243530183E-2</v>
      </c>
      <c r="BL183" s="95">
        <f>+BL94/BL5/4</f>
        <v>0.10669404769202477</v>
      </c>
      <c r="BM183" s="95">
        <f>+BM94/BM5/4</f>
        <v>0.10434694819430021</v>
      </c>
      <c r="BN183" s="95">
        <f>+BN94/BN5/4</f>
        <v>0.10891496494971047</v>
      </c>
      <c r="BO183" s="95">
        <f>+BO94/BO5/4</f>
        <v>0.11866575946086054</v>
      </c>
      <c r="BP183" s="98">
        <f>+BP94/BP5</f>
        <v>0.1118593854987478</v>
      </c>
      <c r="BQ183" s="95">
        <f>+BQ94/BQ5/4</f>
        <v>0.10328293621113366</v>
      </c>
      <c r="BR183" s="95">
        <f>+BR94/BR5/4</f>
        <v>0.10279784286562438</v>
      </c>
      <c r="BS183" s="95">
        <f>+BS94/BS5/4</f>
        <v>0.11819939243302954</v>
      </c>
      <c r="BT183" s="95">
        <f>+BT94/BT5/4</f>
        <v>0.11317567567567567</v>
      </c>
      <c r="BU183" s="98">
        <f>+BU94/BU5</f>
        <v>0.1005251312828207</v>
      </c>
      <c r="BV183" s="95">
        <f>+BV94/BV5/4</f>
        <v>0.10746577111857401</v>
      </c>
      <c r="BW183" s="95">
        <f>+BW94/BW5/4</f>
        <v>0.10233869033341328</v>
      </c>
      <c r="BX183" s="95">
        <f>+BX94/BX5/4</f>
        <v>0.10831804791284531</v>
      </c>
      <c r="BY183" s="95">
        <f>+BY94/BY5/4</f>
        <v>0.10988730958717935</v>
      </c>
      <c r="BZ183" s="98">
        <f>+BZ94/BZ5</f>
        <v>0.10233355306526039</v>
      </c>
      <c r="CA183" s="94">
        <f>BV183-0.2%</f>
        <v>0.10546577111857401</v>
      </c>
      <c r="CB183" s="94">
        <f t="shared" ref="CB183:CD183" si="282">BW183-0.2%</f>
        <v>0.10033869033341328</v>
      </c>
      <c r="CC183" s="94">
        <f t="shared" si="282"/>
        <v>0.10631804791284531</v>
      </c>
      <c r="CD183" s="94">
        <f t="shared" si="282"/>
        <v>0.10788730958717935</v>
      </c>
      <c r="CE183" s="98">
        <f>+CE94/CE5</f>
        <v>9.9743916410993505E-2</v>
      </c>
      <c r="CF183" s="94">
        <f>CA183</f>
        <v>0.10546577111857401</v>
      </c>
      <c r="CG183" s="94">
        <f>CB183</f>
        <v>0.10033869033341328</v>
      </c>
      <c r="CH183" s="94">
        <f>CC183</f>
        <v>0.10631804791284531</v>
      </c>
      <c r="CI183" s="94">
        <f>CD183</f>
        <v>0.10788730958717935</v>
      </c>
      <c r="CJ183" s="98">
        <f>+CJ94/CJ5</f>
        <v>9.9501637350966732E-2</v>
      </c>
      <c r="CK183" s="94">
        <f>CF183</f>
        <v>0.10546577111857401</v>
      </c>
      <c r="CL183" s="94">
        <f>CG183</f>
        <v>0.10033869033341328</v>
      </c>
      <c r="CM183" s="94">
        <f>CH183</f>
        <v>0.10631804791284531</v>
      </c>
      <c r="CN183" s="94">
        <f>CI183</f>
        <v>0.10788730958717935</v>
      </c>
      <c r="CO183" s="98">
        <f>+CO94/CO5</f>
        <v>9.9341218347993365E-2</v>
      </c>
      <c r="CP183" s="94">
        <f>CK183</f>
        <v>0.10546577111857401</v>
      </c>
      <c r="CQ183" s="94">
        <f>CL183</f>
        <v>0.10033869033341328</v>
      </c>
      <c r="CR183" s="94">
        <f>CM183</f>
        <v>0.10631804791284531</v>
      </c>
      <c r="CS183" s="94">
        <f>CN183</f>
        <v>0.10788730958717935</v>
      </c>
      <c r="CT183" s="98">
        <f>+CT94/CT5</f>
        <v>9.9215209618594633E-2</v>
      </c>
      <c r="CU183" s="94">
        <f>CP183</f>
        <v>0.10546577111857401</v>
      </c>
      <c r="CV183" s="94">
        <f>CQ183</f>
        <v>0.10033869033341328</v>
      </c>
      <c r="CW183" s="94">
        <f>CR183</f>
        <v>0.10631804791284531</v>
      </c>
      <c r="CX183" s="94">
        <f>CS183</f>
        <v>0.10788730958717935</v>
      </c>
      <c r="CY183" s="98">
        <f>+CY94/CY5</f>
        <v>9.9101037453597982E-2</v>
      </c>
      <c r="CZ183" s="97"/>
      <c r="DA183" s="751"/>
      <c r="DB183" s="750"/>
      <c r="DC183" s="750"/>
      <c r="DD183" s="751"/>
      <c r="DE183" s="752"/>
      <c r="DF183" s="751"/>
      <c r="DG183" s="750"/>
      <c r="DH183" s="750"/>
      <c r="DI183" s="751"/>
      <c r="DJ183" s="751"/>
      <c r="DK183" s="751"/>
      <c r="DL183" s="751"/>
      <c r="DM183" s="751"/>
      <c r="DN183" s="751"/>
      <c r="DU183" s="243"/>
      <c r="DV183" s="243"/>
      <c r="DW183" s="751"/>
      <c r="DX183" s="751"/>
      <c r="DY183" s="751"/>
      <c r="DZ183" s="751"/>
      <c r="EA183" s="751"/>
    </row>
    <row r="184" spans="1:131" x14ac:dyDescent="0.2">
      <c r="A184" s="244"/>
      <c r="B184" s="243" t="s">
        <v>178</v>
      </c>
      <c r="C184" s="244"/>
      <c r="D184" s="245"/>
      <c r="E184" s="245"/>
      <c r="F184" s="245"/>
      <c r="G184" s="246"/>
      <c r="H184" s="247">
        <f>H94/H5*365</f>
        <v>65.50696198173199</v>
      </c>
      <c r="I184" s="248">
        <f>I94/I5*365/4</f>
        <v>70.048192072726891</v>
      </c>
      <c r="J184" s="248">
        <f>J94/J5*365/4</f>
        <v>69.438513136234363</v>
      </c>
      <c r="K184" s="248">
        <f>K94/K5*365/4</f>
        <v>76.172596805227172</v>
      </c>
      <c r="L184" s="246">
        <f>L94/L5*365/4</f>
        <v>74.714514865358424</v>
      </c>
      <c r="M184" s="247">
        <f>M94/M5*365</f>
        <v>75.867611075149028</v>
      </c>
      <c r="N184" s="246">
        <f>N94/N5*365/4</f>
        <v>68.422666627148246</v>
      </c>
      <c r="O184" s="246">
        <f>O94/O5*365/4</f>
        <v>68.182553888179044</v>
      </c>
      <c r="P184" s="246">
        <f>P94/P5*365/4</f>
        <v>69.820400915476284</v>
      </c>
      <c r="Q184" s="246">
        <f>Q94/Q5*365/4</f>
        <v>67.214041177593273</v>
      </c>
      <c r="R184" s="247">
        <f>R94/R5*365</f>
        <v>61.200038014554146</v>
      </c>
      <c r="S184" s="246">
        <f>S94/S5*365/4</f>
        <v>67.432952677567258</v>
      </c>
      <c r="T184" s="246">
        <f>T94/T5*365/4</f>
        <v>65.815873015873024</v>
      </c>
      <c r="U184" s="246">
        <f>U94/U5*365/4</f>
        <v>70.504730810234534</v>
      </c>
      <c r="V184" s="246">
        <f>V94/V5*365/4</f>
        <v>70.382813867974093</v>
      </c>
      <c r="W184" s="247">
        <f>W94/W5*365</f>
        <v>61.645004217467992</v>
      </c>
      <c r="X184" s="246">
        <f>X94/X5*365/4</f>
        <v>77.347841766533506</v>
      </c>
      <c r="Y184" s="246">
        <f>Y94/Y5*365/4</f>
        <v>80.198997311225639</v>
      </c>
      <c r="Z184" s="246">
        <f>Z94/Z5*365/4</f>
        <v>78.22262056996712</v>
      </c>
      <c r="AA184" s="246">
        <f>AA94/AA5*365/4</f>
        <v>75.484509271822702</v>
      </c>
      <c r="AB184" s="247">
        <f>AB94/AB5*365</f>
        <v>70.774980121918901</v>
      </c>
      <c r="AC184" s="246">
        <f>AC94/AC5*365/4</f>
        <v>77.471426271732128</v>
      </c>
      <c r="AD184" s="246">
        <f>AD94/AD5*365/4</f>
        <v>74.020778881338202</v>
      </c>
      <c r="AE184" s="246">
        <f>AE94/AE5*365/4</f>
        <v>71.977065554693553</v>
      </c>
      <c r="AF184" s="246">
        <f>AF94/AF5*365/4</f>
        <v>65.120051693647127</v>
      </c>
      <c r="AG184" s="247">
        <f>AG94/AG5*365</f>
        <v>52.393969244240147</v>
      </c>
      <c r="AH184" s="246">
        <f>AH94/AH5*365/4</f>
        <v>82.523844113188474</v>
      </c>
      <c r="AI184" s="246">
        <f>AI94/AI5*365/4</f>
        <v>81.935589644160572</v>
      </c>
      <c r="AJ184" s="246">
        <f>AJ94/AJ5*365/4</f>
        <v>83.304773716715616</v>
      </c>
      <c r="AK184" s="246">
        <f>AK94/AK5*365/4</f>
        <v>66.271165514321993</v>
      </c>
      <c r="AL184" s="247">
        <f>AL94/AL5*365</f>
        <v>55.832590347123165</v>
      </c>
      <c r="AM184" s="246">
        <f>AM94/AM5*365/4</f>
        <v>73.7531746031746</v>
      </c>
      <c r="AN184" s="246">
        <f>AN94/AN5*365/4</f>
        <v>76.221459202596208</v>
      </c>
      <c r="AO184" s="246">
        <f>AO94/AO5*365/4</f>
        <v>82.043796564569533</v>
      </c>
      <c r="AP184" s="246">
        <f>AP94/AP5*365/4</f>
        <v>53.247238920732556</v>
      </c>
      <c r="AQ184" s="247">
        <f>AQ94/AQ5*365</f>
        <v>45.723589435774308</v>
      </c>
      <c r="AR184" s="246">
        <f>AR94/AR5*365/4</f>
        <v>65.970604438847801</v>
      </c>
      <c r="AS184" s="246">
        <f>AS94/AS5*365/4</f>
        <v>66.328781512605033</v>
      </c>
      <c r="AT184" s="246">
        <f>AT94/AT5*365/4</f>
        <v>74.125160553731988</v>
      </c>
      <c r="AU184" s="246">
        <f>AU94/AU5*365/4</f>
        <v>63.574271612800516</v>
      </c>
      <c r="AV184" s="247">
        <f>AV94/AV5*365</f>
        <v>60.175564178879554</v>
      </c>
      <c r="AW184" s="246">
        <f>AW94/AW5*365/4</f>
        <v>65.806947069943305</v>
      </c>
      <c r="AX184" s="246">
        <f>AX94/AX5*365/4</f>
        <v>63.633321403006441</v>
      </c>
      <c r="AY184" s="246">
        <f>AY94/AY5*365/4</f>
        <v>64.145097144347375</v>
      </c>
      <c r="AZ184" s="246">
        <f>AZ94/AZ5*365/4</f>
        <v>61.877963787900562</v>
      </c>
      <c r="BA184" s="247">
        <f>BA94/BA5*365</f>
        <v>61.601337577339862</v>
      </c>
      <c r="BB184" s="246">
        <f>BB94/BB5*365/4</f>
        <v>61.492797742797748</v>
      </c>
      <c r="BC184" s="246">
        <f>BC94/BC5*365/4</f>
        <v>40.999366351555004</v>
      </c>
      <c r="BD184" s="246">
        <f>BD94/BD5*365/4</f>
        <v>42.283655511674631</v>
      </c>
      <c r="BE184" s="246">
        <f>BE94/BE5*365/4</f>
        <v>44.253988537794299</v>
      </c>
      <c r="BF184" s="247">
        <f>BF94/BF5*365</f>
        <v>46.955030096349411</v>
      </c>
      <c r="BG184" s="246">
        <f>BG94/BG5*365/4</f>
        <v>38.945691349934464</v>
      </c>
      <c r="BH184" s="246">
        <f>BH94/BH5*365/4</f>
        <v>37.286716222941031</v>
      </c>
      <c r="BI184" s="246">
        <f>BI94/BI5*365/4</f>
        <v>41.513866363931236</v>
      </c>
      <c r="BJ184" s="246">
        <f>BJ94/BJ5*365/4</f>
        <v>40.394430482666863</v>
      </c>
      <c r="BK184" s="247">
        <f>BK94/BK5*365</f>
        <v>36.263852023888518</v>
      </c>
      <c r="BL184" s="246">
        <f>BL94/BL5*365/4</f>
        <v>38.943327407589038</v>
      </c>
      <c r="BM184" s="246">
        <f>BM94/BM5*365/4</f>
        <v>38.086636090919576</v>
      </c>
      <c r="BN184" s="246">
        <f>BN94/BN5*365/4</f>
        <v>39.753962206644317</v>
      </c>
      <c r="BO184" s="246">
        <f>BO94/BO5*365/4</f>
        <v>43.313002203214097</v>
      </c>
      <c r="BP184" s="247">
        <f>BP94/BP5*365</f>
        <v>40.828675707042947</v>
      </c>
      <c r="BQ184" s="246">
        <f>BQ94/BQ5*365/4</f>
        <v>37.698271717063783</v>
      </c>
      <c r="BR184" s="246">
        <f>BR94/BR5*365/4</f>
        <v>37.5212126459529</v>
      </c>
      <c r="BS184" s="246">
        <f>BS94/BS5*365/4</f>
        <v>43.142778238055783</v>
      </c>
      <c r="BT184" s="246">
        <f>BT94/BT5*365/4</f>
        <v>41.309121621621621</v>
      </c>
      <c r="BU184" s="247">
        <f>BU94/BU5*365</f>
        <v>36.691672918229557</v>
      </c>
      <c r="BV184" s="246">
        <f>BV94/BV5*365/4</f>
        <v>39.225006458279516</v>
      </c>
      <c r="BW184" s="246">
        <f>BW94/BW5*365/4</f>
        <v>37.353621971695844</v>
      </c>
      <c r="BX184" s="246">
        <f>BX94/BX5*365/4</f>
        <v>39.536087488188542</v>
      </c>
      <c r="BY184" s="246">
        <f>BY94/BY5*365/4</f>
        <v>40.108867999320459</v>
      </c>
      <c r="BZ184" s="247">
        <f>BZ94/BZ5*365</f>
        <v>37.351746868820044</v>
      </c>
      <c r="CA184" s="246">
        <f>CA94/CA5*365/4</f>
        <v>38.495006458279512</v>
      </c>
      <c r="CB184" s="246">
        <f>CB94/CB5*365/4</f>
        <v>36.623621971695847</v>
      </c>
      <c r="CC184" s="246">
        <f>CC94/CC5*365/4</f>
        <v>38.806087488188538</v>
      </c>
      <c r="CD184" s="246">
        <f>CD94/CD5*365/4</f>
        <v>39.378867999320462</v>
      </c>
      <c r="CE184" s="247">
        <f>CE94/CE5*365</f>
        <v>36.40652949001263</v>
      </c>
      <c r="CF184" s="246">
        <f>CF94/CF5*365/4</f>
        <v>38.495006458279512</v>
      </c>
      <c r="CG184" s="246">
        <f>CG94/CG5*365/4</f>
        <v>36.623621971695847</v>
      </c>
      <c r="CH184" s="246">
        <f>CH94/CH5*365/4</f>
        <v>38.806087488188538</v>
      </c>
      <c r="CI184" s="246">
        <f>CI94/CI5*365/4</f>
        <v>39.378867999320462</v>
      </c>
      <c r="CJ184" s="247">
        <f>CJ94/CJ5*365</f>
        <v>36.318097633102859</v>
      </c>
      <c r="CK184" s="246">
        <f>CK94/CK5*365/4</f>
        <v>38.495006458279512</v>
      </c>
      <c r="CL184" s="246">
        <f>CL94/CL5*365/4</f>
        <v>36.623621971695847</v>
      </c>
      <c r="CM184" s="246">
        <f>CM94/CM5*365/4</f>
        <v>38.806087488188538</v>
      </c>
      <c r="CN184" s="246">
        <f>CN94/CN5*365/4</f>
        <v>39.378867999320462</v>
      </c>
      <c r="CO184" s="247">
        <f>CO94/CO5*365</f>
        <v>36.259544697017581</v>
      </c>
      <c r="CP184" s="246">
        <f>CP94/CP5*365/4</f>
        <v>38.495006458279512</v>
      </c>
      <c r="CQ184" s="246">
        <f>CQ94/CQ5*365/4</f>
        <v>36.623621971695854</v>
      </c>
      <c r="CR184" s="246">
        <f>CR94/CR5*365/4</f>
        <v>38.806087488188538</v>
      </c>
      <c r="CS184" s="246">
        <f>CS94/CS5*365/4</f>
        <v>39.378867999320462</v>
      </c>
      <c r="CT184" s="247">
        <f>CT94/CT5*365</f>
        <v>36.213551510787042</v>
      </c>
      <c r="CU184" s="246">
        <f>CU94/CU5*365/4</f>
        <v>38.495006458279512</v>
      </c>
      <c r="CV184" s="246">
        <f>CV94/CV5*365/4</f>
        <v>36.623621971695847</v>
      </c>
      <c r="CW184" s="246">
        <f>CW94/CW5*365/4</f>
        <v>38.806087488188538</v>
      </c>
      <c r="CX184" s="246">
        <f>CX94/CX5*365/4</f>
        <v>39.378867999320462</v>
      </c>
      <c r="CY184" s="247">
        <f>CY94/CY5*365</f>
        <v>36.171878670563267</v>
      </c>
      <c r="CZ184" s="249"/>
      <c r="DA184" s="420"/>
      <c r="DB184" s="753"/>
      <c r="DC184" s="753"/>
      <c r="DD184" s="420"/>
      <c r="DE184" s="725"/>
      <c r="DF184" s="420"/>
      <c r="DG184" s="753"/>
      <c r="DH184" s="753"/>
      <c r="DI184" s="420"/>
      <c r="DJ184" s="420"/>
      <c r="DK184" s="420"/>
      <c r="DL184" s="420"/>
      <c r="DM184" s="420"/>
      <c r="DN184" s="420"/>
      <c r="DU184" s="250"/>
      <c r="DV184" s="250"/>
      <c r="DW184" s="420"/>
      <c r="DX184" s="420"/>
      <c r="DY184" s="420"/>
      <c r="DZ184" s="420"/>
      <c r="EA184" s="420"/>
    </row>
    <row r="185" spans="1:131" x14ac:dyDescent="0.2">
      <c r="A185" s="243" t="s">
        <v>179</v>
      </c>
      <c r="B185" s="243"/>
      <c r="C185" s="243"/>
      <c r="D185" s="95"/>
      <c r="E185" s="95"/>
      <c r="F185" s="95"/>
      <c r="G185" s="95"/>
      <c r="H185" s="98">
        <f>-H95/H11</f>
        <v>0.49666730191630143</v>
      </c>
      <c r="I185" s="95">
        <f>-I95/I11/4</f>
        <v>0.48816402028431305</v>
      </c>
      <c r="J185" s="95">
        <f>-J95/J11/4</f>
        <v>0.44177031325791988</v>
      </c>
      <c r="K185" s="95">
        <f>-K95/K11/4</f>
        <v>0.46740353890371961</v>
      </c>
      <c r="L185" s="95">
        <f>-L95/L11/4</f>
        <v>0.54397629658903113</v>
      </c>
      <c r="M185" s="98">
        <f>-M95/M11</f>
        <v>0.54855812569647322</v>
      </c>
      <c r="N185" s="95">
        <f>-N95/N11/4</f>
        <v>0.53340984761173016</v>
      </c>
      <c r="O185" s="95">
        <f>-O95/O11/4</f>
        <v>0.48364597054244995</v>
      </c>
      <c r="P185" s="95">
        <f>-P95/P11/4</f>
        <v>0.5205101452617017</v>
      </c>
      <c r="Q185" s="95">
        <f>-Q95/Q11/4</f>
        <v>0.56723642172523958</v>
      </c>
      <c r="R185" s="98">
        <f>-R95/R11</f>
        <v>0.52693748840660359</v>
      </c>
      <c r="S185" s="95">
        <f>-S95/S11/4</f>
        <v>0.52484714063061977</v>
      </c>
      <c r="T185" s="95">
        <f>-T95/T11/4</f>
        <v>0.48416448823647695</v>
      </c>
      <c r="U185" s="95">
        <f>-U95/U11/4</f>
        <v>0.51669243405159915</v>
      </c>
      <c r="V185" s="95">
        <f>-V95/V11/4</f>
        <v>0.61773845763571789</v>
      </c>
      <c r="W185" s="98">
        <f>-W95/W11</f>
        <v>0.53343373493975899</v>
      </c>
      <c r="X185" s="95">
        <f>-X95/X11/4</f>
        <v>0.77850772415989811</v>
      </c>
      <c r="Y185" s="95">
        <f>-Y95/Y11/4</f>
        <v>0.831042531120332</v>
      </c>
      <c r="Z185" s="95">
        <f>-Z95/Z11/4</f>
        <v>0.73168458781362011</v>
      </c>
      <c r="AA185" s="95">
        <f>-AA95/AA11/4</f>
        <v>0.98335138061721705</v>
      </c>
      <c r="AB185" s="98">
        <f>-AB95/AB11</f>
        <v>0.88673257658977167</v>
      </c>
      <c r="AC185" s="95">
        <f>-AC95/AC11/4</f>
        <v>0.95826299797434167</v>
      </c>
      <c r="AD185" s="95">
        <f>-AD95/AD11/4</f>
        <v>0.840360435875943</v>
      </c>
      <c r="AE185" s="95">
        <f>-AE95/AE11/4</f>
        <v>0.79932934712346448</v>
      </c>
      <c r="AF185" s="95">
        <f>-AF95/AF11/4</f>
        <v>0.93377246732026142</v>
      </c>
      <c r="AG185" s="98">
        <f>-AG95/AG11</f>
        <v>0.79602141644539237</v>
      </c>
      <c r="AH185" s="95">
        <f>-AH95/AH11/4</f>
        <v>0.89542103220799385</v>
      </c>
      <c r="AI185" s="95">
        <f>-AI95/AI11/4</f>
        <v>0.82653616095704185</v>
      </c>
      <c r="AJ185" s="95">
        <f>-AJ95/AJ11/4</f>
        <v>0.78027098997493738</v>
      </c>
      <c r="AK185" s="95">
        <f>-AK95/AK11/4</f>
        <v>0.97484961626218625</v>
      </c>
      <c r="AL185" s="98">
        <f>-AL95/AL11</f>
        <v>0.85934357286524055</v>
      </c>
      <c r="AM185" s="95">
        <f>-AM95/AM11/4</f>
        <v>0.87080504364694467</v>
      </c>
      <c r="AN185" s="95">
        <f>-AN95/AN11/4</f>
        <v>0.78590983756159893</v>
      </c>
      <c r="AO185" s="95">
        <f>-AO95/AO11/4</f>
        <v>0.76075970003260518</v>
      </c>
      <c r="AP185" s="95">
        <f>-AP95/AP11/4</f>
        <v>0.74353822762814947</v>
      </c>
      <c r="AQ185" s="98">
        <f>-AQ95/AQ11</f>
        <v>0.64069810967621177</v>
      </c>
      <c r="AR185" s="95">
        <f>-AR95/AR11/4</f>
        <v>0.85199166883624056</v>
      </c>
      <c r="AS185" s="95">
        <f>-AS95/AS11/4</f>
        <v>0.77327437975927293</v>
      </c>
      <c r="AT185" s="95">
        <f>-AT95/AT11/4</f>
        <v>0.87739808153477217</v>
      </c>
      <c r="AU185" s="95">
        <f>-AU95/AU11/4</f>
        <v>0.8993064642763674</v>
      </c>
      <c r="AV185" s="98">
        <f>-AV95/AV11</f>
        <v>0.86430233289316472</v>
      </c>
      <c r="AW185" s="95">
        <f>-AW95/AW11/4</f>
        <v>0.86411058946270225</v>
      </c>
      <c r="AX185" s="95">
        <f>-AX95/AX11/4</f>
        <v>0.82841709152706977</v>
      </c>
      <c r="AY185" s="95">
        <f>-AY95/AY11/4</f>
        <v>0.88154406891981429</v>
      </c>
      <c r="AZ185" s="95">
        <f>-AZ95/AZ11/4</f>
        <v>0.85700231481481481</v>
      </c>
      <c r="BA185" s="98">
        <f>-BA95/BA11</f>
        <v>0.88148809523809524</v>
      </c>
      <c r="BB185" s="95">
        <f>-BB95/BB11/4</f>
        <v>0.86808561808561802</v>
      </c>
      <c r="BC185" s="95">
        <f>-BC95/BC11/4</f>
        <v>0.47147612488521584</v>
      </c>
      <c r="BD185" s="95">
        <f>-BD95/BD11/4</f>
        <v>0.54847245609814776</v>
      </c>
      <c r="BE185" s="95">
        <f>-BE95/BE11/4</f>
        <v>0.58785059331175837</v>
      </c>
      <c r="BF185" s="98">
        <f>-BF95/BF11</f>
        <v>0.60972027972027976</v>
      </c>
      <c r="BG185" s="95">
        <f>-BG95/BG11/4</f>
        <v>0.52520636792452835</v>
      </c>
      <c r="BH185" s="95">
        <f>-BH95/BH11/4</f>
        <v>0.48881622334579028</v>
      </c>
      <c r="BI185" s="95">
        <f>-BI95/BI11/4</f>
        <v>0.55309378946160037</v>
      </c>
      <c r="BJ185" s="95">
        <f>-BJ95/BJ11/4</f>
        <v>0.60026281208935617</v>
      </c>
      <c r="BK185" s="98">
        <f>-BK95/BK11</f>
        <v>0.53901295023452023</v>
      </c>
      <c r="BL185" s="95">
        <f>-BL95/BL11/4</f>
        <v>0.50352868112014448</v>
      </c>
      <c r="BM185" s="95">
        <f>-BM95/BM11/4</f>
        <v>0.4710794189375464</v>
      </c>
      <c r="BN185" s="95">
        <f>-BN95/BN11/4</f>
        <v>0.53472931562819204</v>
      </c>
      <c r="BO185" s="95">
        <f>-BO95/BO11/4</f>
        <v>0.55932817786370226</v>
      </c>
      <c r="BP185" s="98">
        <f>-BP95/BP11</f>
        <v>0.52343529145700229</v>
      </c>
      <c r="BQ185" s="95">
        <f>-BQ95/BQ11/4</f>
        <v>0.47893370607028751</v>
      </c>
      <c r="BR185" s="95">
        <f>-BR95/BR11/4</f>
        <v>0.44163016568272712</v>
      </c>
      <c r="BS185" s="95">
        <f>-BS95/BS11/4</f>
        <v>0.57312925170068019</v>
      </c>
      <c r="BT185" s="95">
        <f>-BT95/BT11/4</f>
        <v>0.58076877376425862</v>
      </c>
      <c r="BU185" s="98">
        <f>-BU95/BU11</f>
        <v>0.51187328184317316</v>
      </c>
      <c r="BV185" s="95">
        <f>-BV95/BV11/4</f>
        <v>0.51927613941018769</v>
      </c>
      <c r="BW185" s="95">
        <f>-BW95/BW11/4</f>
        <v>0.47176315274789754</v>
      </c>
      <c r="BX185" s="95">
        <f>-BX95/BX11/4</f>
        <v>0.61038522189682354</v>
      </c>
      <c r="BY185" s="95">
        <f>-BY95/BY11/4</f>
        <v>0.58095450490633371</v>
      </c>
      <c r="BZ185" s="98">
        <f>-BZ95/BZ11</f>
        <v>0.55726395165387599</v>
      </c>
      <c r="CA185" s="94">
        <f>BV185</f>
        <v>0.51927613941018769</v>
      </c>
      <c r="CB185" s="94">
        <f>BW185</f>
        <v>0.47176315274789754</v>
      </c>
      <c r="CC185" s="94">
        <f>BX185</f>
        <v>0.61038522189682354</v>
      </c>
      <c r="CD185" s="94">
        <f>BY185</f>
        <v>0.58095450490633371</v>
      </c>
      <c r="CE185" s="98">
        <f>-CE95/CE11</f>
        <v>0.5510120946744903</v>
      </c>
      <c r="CF185" s="94">
        <f>CA185-0.75%</f>
        <v>0.51177613941018774</v>
      </c>
      <c r="CG185" s="94">
        <f>CB185-0.75%</f>
        <v>0.46426315274789753</v>
      </c>
      <c r="CH185" s="94">
        <f>CC185-0.75%</f>
        <v>0.60288522189682359</v>
      </c>
      <c r="CI185" s="94">
        <f>CD185-0.75%</f>
        <v>0.57345450490633376</v>
      </c>
      <c r="CJ185" s="98">
        <f>-CJ95/CJ11</f>
        <v>0.54288479542189783</v>
      </c>
      <c r="CK185" s="94">
        <f>CF185-0.75%</f>
        <v>0.50427613941018778</v>
      </c>
      <c r="CL185" s="94">
        <f>CG185-0.75%</f>
        <v>0.45676315274789753</v>
      </c>
      <c r="CM185" s="94">
        <f>CH185-0.75%</f>
        <v>0.59538522189682364</v>
      </c>
      <c r="CN185" s="94">
        <f>CI185-0.75%</f>
        <v>0.56595450490633381</v>
      </c>
      <c r="CO185" s="98">
        <f>-CO95/CO11</f>
        <v>0.53506949671440529</v>
      </c>
      <c r="CP185" s="94">
        <f>CK185</f>
        <v>0.50427613941018778</v>
      </c>
      <c r="CQ185" s="94">
        <f>CL185</f>
        <v>0.45676315274789753</v>
      </c>
      <c r="CR185" s="94">
        <f>CM185</f>
        <v>0.59538522189682364</v>
      </c>
      <c r="CS185" s="94">
        <f>CN185</f>
        <v>0.56595450490633381</v>
      </c>
      <c r="CT185" s="98">
        <f>-CT95/CT11</f>
        <v>0.53449003048553079</v>
      </c>
      <c r="CU185" s="94">
        <f>CP185</f>
        <v>0.50427613941018778</v>
      </c>
      <c r="CV185" s="94">
        <f>CQ185</f>
        <v>0.45676315274789753</v>
      </c>
      <c r="CW185" s="94">
        <f>CR185</f>
        <v>0.59538522189682364</v>
      </c>
      <c r="CX185" s="94">
        <f>CS185</f>
        <v>0.56595450490633381</v>
      </c>
      <c r="CY185" s="98">
        <f>-CY95/CY11</f>
        <v>0.53397286576196701</v>
      </c>
      <c r="CZ185" s="97"/>
      <c r="DA185" s="751"/>
      <c r="DB185" s="750"/>
      <c r="DC185" s="750"/>
      <c r="DD185" s="751"/>
      <c r="DE185" s="752"/>
      <c r="DF185" s="751"/>
      <c r="DG185" s="750"/>
      <c r="DH185" s="750"/>
      <c r="DI185" s="751"/>
      <c r="DJ185" s="751"/>
      <c r="DK185" s="751"/>
      <c r="DL185" s="751"/>
      <c r="DM185" s="751"/>
      <c r="DN185" s="751"/>
      <c r="DU185" s="243"/>
      <c r="DV185" s="243"/>
      <c r="DW185" s="751"/>
      <c r="DX185" s="751"/>
      <c r="DY185" s="751"/>
      <c r="DZ185" s="751"/>
      <c r="EA185" s="751"/>
    </row>
    <row r="186" spans="1:131" x14ac:dyDescent="0.2">
      <c r="A186" s="251"/>
      <c r="B186" s="251" t="s">
        <v>180</v>
      </c>
      <c r="C186" s="251"/>
      <c r="D186" s="245"/>
      <c r="E186" s="245"/>
      <c r="F186" s="245"/>
      <c r="G186" s="246"/>
      <c r="H186" s="247">
        <f>-H95/H11*365</f>
        <v>181.28356519945001</v>
      </c>
      <c r="I186" s="248">
        <f>-I95/I11*365/4</f>
        <v>178.17986740377427</v>
      </c>
      <c r="J186" s="248">
        <f>-J95/J11*365/4</f>
        <v>161.24616433914076</v>
      </c>
      <c r="K186" s="248">
        <f>-K95/K11*365/4</f>
        <v>170.60229169985766</v>
      </c>
      <c r="L186" s="246">
        <f>-L95/L11*365/4</f>
        <v>198.55134825499636</v>
      </c>
      <c r="M186" s="247">
        <f>-M95/M11*365</f>
        <v>200.22371587921273</v>
      </c>
      <c r="N186" s="246">
        <f>-N95/N11*365/4</f>
        <v>194.69459437828152</v>
      </c>
      <c r="O186" s="246">
        <f>-O95/O11*365/4</f>
        <v>176.53077924799425</v>
      </c>
      <c r="P186" s="246">
        <f>-P95/P11*365/4</f>
        <v>189.98620302052112</v>
      </c>
      <c r="Q186" s="246">
        <f>-Q95/Q11*365/4</f>
        <v>207.04129392971245</v>
      </c>
      <c r="R186" s="247">
        <f>-R95/R11*365</f>
        <v>192.33218326841032</v>
      </c>
      <c r="S186" s="246">
        <f>-S95/S11*365/4</f>
        <v>191.56920633017623</v>
      </c>
      <c r="T186" s="246">
        <f>-T95/T11*365/4</f>
        <v>176.72003820631409</v>
      </c>
      <c r="U186" s="246">
        <f>-U95/U11*365/4</f>
        <v>188.59273842883368</v>
      </c>
      <c r="V186" s="246">
        <f>-V95/V11*365/4</f>
        <v>225.47453703703704</v>
      </c>
      <c r="W186" s="247">
        <f>-W95/W11*365</f>
        <v>194.70331325301203</v>
      </c>
      <c r="X186" s="246">
        <f>-X95/X11*365/4</f>
        <v>284.15531931836279</v>
      </c>
      <c r="Y186" s="246">
        <f>-Y95/Y11*365/4</f>
        <v>303.3305238589212</v>
      </c>
      <c r="Z186" s="246">
        <f>-Z95/Z11*365/4</f>
        <v>267.06487455197134</v>
      </c>
      <c r="AA186" s="246">
        <f>-AA95/AA11*365/4</f>
        <v>358.9232539252842</v>
      </c>
      <c r="AB186" s="247">
        <f>-AB95/AB11*365</f>
        <v>323.65739045526664</v>
      </c>
      <c r="AC186" s="246">
        <f>-AC95/AC11*365/4</f>
        <v>349.76599426063473</v>
      </c>
      <c r="AD186" s="246">
        <f>-AD95/AD11*365/4</f>
        <v>306.73155909471922</v>
      </c>
      <c r="AE186" s="246">
        <f>-AE95/AE11*365/4</f>
        <v>291.75521170006454</v>
      </c>
      <c r="AF186" s="246">
        <f>-AF95/AF11*365/4</f>
        <v>340.8269505718954</v>
      </c>
      <c r="AG186" s="247">
        <f>-AG95/AG11*365</f>
        <v>290.54781700256819</v>
      </c>
      <c r="AH186" s="246">
        <f>-AH95/AH11*365/4</f>
        <v>326.82867675591774</v>
      </c>
      <c r="AI186" s="246">
        <f>-AI95/AI11*365/4</f>
        <v>301.6856987493203</v>
      </c>
      <c r="AJ186" s="246">
        <f>-AJ95/AJ11*365/4</f>
        <v>284.79891134085216</v>
      </c>
      <c r="AK186" s="246">
        <f>-AK95/AK11*365/4</f>
        <v>355.82010993569799</v>
      </c>
      <c r="AL186" s="247">
        <f>-AL95/AL11*365</f>
        <v>313.66040409581279</v>
      </c>
      <c r="AM186" s="246">
        <f>-AM95/AM11*365/4</f>
        <v>317.84384093113482</v>
      </c>
      <c r="AN186" s="246">
        <f>-AN95/AN11*365/4</f>
        <v>286.85709070998359</v>
      </c>
      <c r="AO186" s="246">
        <f>-AO95/AO11*365/4</f>
        <v>277.67729051190088</v>
      </c>
      <c r="AP186" s="246">
        <f>-AP95/AP11*365/4</f>
        <v>271.39145308427453</v>
      </c>
      <c r="AQ186" s="247">
        <f>-AQ95/AQ11*365</f>
        <v>233.85481003181729</v>
      </c>
      <c r="AR186" s="246">
        <f>-AR95/AR11*365/4</f>
        <v>310.97695912522778</v>
      </c>
      <c r="AS186" s="246">
        <f>-AS95/AS11*365/4</f>
        <v>282.24514861213464</v>
      </c>
      <c r="AT186" s="246">
        <f>-AT95/AT11*365/4</f>
        <v>320.25029976019187</v>
      </c>
      <c r="AU186" s="246">
        <f>-AU95/AU11*365/4</f>
        <v>328.24685946087408</v>
      </c>
      <c r="AV186" s="247">
        <f>-AV95/AV11*365</f>
        <v>315.4703515060051</v>
      </c>
      <c r="AW186" s="246">
        <f>-AW95/AW11*365/4</f>
        <v>315.4003651538863</v>
      </c>
      <c r="AX186" s="246">
        <f>-AX95/AX11*365/4</f>
        <v>302.37223840738045</v>
      </c>
      <c r="AY186" s="246">
        <f>-AY95/AY11*365/4</f>
        <v>321.76358515573224</v>
      </c>
      <c r="AZ186" s="246">
        <f>-AZ95/AZ11*365/4</f>
        <v>312.80584490740739</v>
      </c>
      <c r="BA186" s="247">
        <f>-BA95/BA11*365</f>
        <v>321.74315476190475</v>
      </c>
      <c r="BB186" s="246">
        <f>-BB95/BB11*365/4</f>
        <v>316.85125060125057</v>
      </c>
      <c r="BC186" s="246">
        <f>-BC95/BC11*365/4</f>
        <v>172.08878558310377</v>
      </c>
      <c r="BD186" s="246">
        <f>-BD95/BD11*365/4</f>
        <v>200.19244647582394</v>
      </c>
      <c r="BE186" s="246">
        <f>-BE95/BE11*365/4</f>
        <v>214.5654665587918</v>
      </c>
      <c r="BF186" s="247">
        <f>-BF95/BF11*365</f>
        <v>222.54790209790212</v>
      </c>
      <c r="BG186" s="246">
        <f>-BG95/BG11*365/4</f>
        <v>191.70032429245285</v>
      </c>
      <c r="BH186" s="246">
        <f>-BH95/BH11*365/4</f>
        <v>178.41792152121346</v>
      </c>
      <c r="BI186" s="246">
        <f>-BI95/BI11*365/4</f>
        <v>201.87923315348414</v>
      </c>
      <c r="BJ186" s="246">
        <f>-BJ95/BJ11*365/4</f>
        <v>219.095926412615</v>
      </c>
      <c r="BK186" s="247">
        <f>-BK95/BK11*365</f>
        <v>196.7397268355999</v>
      </c>
      <c r="BL186" s="246">
        <f>-BL95/BL11*365/4</f>
        <v>183.78796860885274</v>
      </c>
      <c r="BM186" s="246">
        <f>-BM95/BM11*365/4</f>
        <v>171.94398791220445</v>
      </c>
      <c r="BN186" s="246">
        <f>-BN95/BN11*365/4</f>
        <v>195.1762002042901</v>
      </c>
      <c r="BO186" s="246">
        <f>-BO95/BO11*365/4</f>
        <v>204.15478492025133</v>
      </c>
      <c r="BP186" s="247">
        <f>-BP95/BP11*365</f>
        <v>191.05388138180584</v>
      </c>
      <c r="BQ186" s="246">
        <f>-BQ95/BQ11*365/4</f>
        <v>174.81080271565494</v>
      </c>
      <c r="BR186" s="246">
        <f>-BR95/BR11*365/4</f>
        <v>161.19501047419539</v>
      </c>
      <c r="BS186" s="246">
        <f>-BS95/BS11*365/4</f>
        <v>209.19217687074826</v>
      </c>
      <c r="BT186" s="246">
        <f>-BT95/BT11*365/4</f>
        <v>211.98060242395439</v>
      </c>
      <c r="BU186" s="247">
        <f>-BU95/BU11*365</f>
        <v>186.83374787275821</v>
      </c>
      <c r="BV186" s="246">
        <f>-BV95/BV11*365/4</f>
        <v>189.53579088471849</v>
      </c>
      <c r="BW186" s="246">
        <f>-BW95/BW11*365/4</f>
        <v>172.19355075298259</v>
      </c>
      <c r="BX186" s="246">
        <f>-BX95/BX11*365/4</f>
        <v>222.7906059923406</v>
      </c>
      <c r="BY186" s="246">
        <f>-BY95/BY11*365/4</f>
        <v>212.04839429081181</v>
      </c>
      <c r="BZ186" s="247">
        <f>-BZ95/BZ11*365</f>
        <v>203.40134235366475</v>
      </c>
      <c r="CA186" s="246">
        <f>-CA95/CA11*365/4</f>
        <v>189.53579088471849</v>
      </c>
      <c r="CB186" s="246">
        <f>-CB95/CB11*365/4</f>
        <v>172.19355075298259</v>
      </c>
      <c r="CC186" s="246">
        <f>-CC95/CC11*365/4</f>
        <v>222.7906059923406</v>
      </c>
      <c r="CD186" s="246">
        <f>-CD95/CD11*365/4</f>
        <v>212.04839429081181</v>
      </c>
      <c r="CE186" s="247">
        <f>-CE95/CE11*365</f>
        <v>201.11941455618896</v>
      </c>
      <c r="CF186" s="246">
        <f>-CF95/CF11*365/4</f>
        <v>186.79829088471851</v>
      </c>
      <c r="CG186" s="246">
        <f>-CG95/CG11*365/4</f>
        <v>169.45605075298261</v>
      </c>
      <c r="CH186" s="246">
        <f>-CH95/CH11*365/4</f>
        <v>220.05310599234062</v>
      </c>
      <c r="CI186" s="246">
        <f>-CI95/CI11*365/4</f>
        <v>209.31089429081183</v>
      </c>
      <c r="CJ186" s="247">
        <f>-CJ95/CJ11*365</f>
        <v>198.15295032899272</v>
      </c>
      <c r="CK186" s="246">
        <f>-CK95/CK11*365/4</f>
        <v>184.06079088471853</v>
      </c>
      <c r="CL186" s="246">
        <f>-CL95/CL11*365/4</f>
        <v>166.71855075298257</v>
      </c>
      <c r="CM186" s="246">
        <f>-CM95/CM11*365/4</f>
        <v>217.31560599234064</v>
      </c>
      <c r="CN186" s="246">
        <f>-CN95/CN11*365/4</f>
        <v>206.57339429081185</v>
      </c>
      <c r="CO186" s="247">
        <f>-CO95/CO11*365</f>
        <v>195.30036630075793</v>
      </c>
      <c r="CP186" s="246">
        <f>-CP95/CP11*365/4</f>
        <v>184.06079088471853</v>
      </c>
      <c r="CQ186" s="246">
        <f>-CQ95/CQ11*365/4</f>
        <v>166.71855075298259</v>
      </c>
      <c r="CR186" s="246">
        <f>-CR95/CR11*365/4</f>
        <v>217.31560599234064</v>
      </c>
      <c r="CS186" s="246">
        <f>-CS95/CS11*365/4</f>
        <v>206.57339429081185</v>
      </c>
      <c r="CT186" s="247">
        <f>-CT95/CT11*365</f>
        <v>195.08886112721873</v>
      </c>
      <c r="CU186" s="246">
        <f>-CU95/CU11*365/4</f>
        <v>184.06079088471853</v>
      </c>
      <c r="CV186" s="246">
        <f>-CV95/CV11*365/4</f>
        <v>166.71855075298259</v>
      </c>
      <c r="CW186" s="246">
        <f>-CW95/CW11*365/4</f>
        <v>217.31560599234064</v>
      </c>
      <c r="CX186" s="246">
        <f>-CX95/CX11*365/4</f>
        <v>206.57339429081185</v>
      </c>
      <c r="CY186" s="247">
        <f>-CY95/CY11*365</f>
        <v>194.90009600311797</v>
      </c>
      <c r="CZ186" s="249"/>
      <c r="DA186" s="755"/>
      <c r="DB186" s="753"/>
      <c r="DC186" s="753"/>
      <c r="DD186" s="755"/>
      <c r="DE186" s="756"/>
      <c r="DF186" s="755"/>
      <c r="DG186" s="753"/>
      <c r="DH186" s="753"/>
      <c r="DI186" s="755"/>
      <c r="DJ186" s="755"/>
      <c r="DK186" s="755"/>
      <c r="DL186" s="755"/>
      <c r="DM186" s="755"/>
      <c r="DN186" s="755"/>
      <c r="DU186" s="251"/>
      <c r="DV186" s="251"/>
      <c r="DW186" s="755"/>
      <c r="DX186" s="755"/>
      <c r="DY186" s="755"/>
      <c r="DZ186" s="755"/>
      <c r="EA186" s="755"/>
    </row>
    <row r="187" spans="1:131" x14ac:dyDescent="0.2">
      <c r="A187" s="243" t="s">
        <v>181</v>
      </c>
      <c r="B187" s="243"/>
      <c r="C187" s="243"/>
      <c r="D187" s="95"/>
      <c r="E187" s="95"/>
      <c r="F187" s="95"/>
      <c r="G187" s="95"/>
      <c r="H187" s="98">
        <f>+H96/H5</f>
        <v>3.8678397536269025E-2</v>
      </c>
      <c r="I187" s="95">
        <f>+I96/I$5/4</f>
        <v>3.8172176360528637E-2</v>
      </c>
      <c r="J187" s="95">
        <f>+J96/J$5/4</f>
        <v>4.2673353643071302E-2</v>
      </c>
      <c r="K187" s="95">
        <f>+K96/K$5/4</f>
        <v>4.2742958301058016E-2</v>
      </c>
      <c r="L187" s="95">
        <f>+L96/L$5/4</f>
        <v>6.2404293805128942E-2</v>
      </c>
      <c r="M187" s="98">
        <f>+M96/M5</f>
        <v>6.3367401907898899E-2</v>
      </c>
      <c r="N187" s="95">
        <f>+N96/N$5/4</f>
        <v>4.8236490399303264E-2</v>
      </c>
      <c r="O187" s="95">
        <f>+O96/O$5/4</f>
        <v>4.3967326057355996E-2</v>
      </c>
      <c r="P187" s="95">
        <f>+P96/P$5/4</f>
        <v>3.8444084918317412E-2</v>
      </c>
      <c r="Q187" s="95">
        <f>+Q96/Q$5/4</f>
        <v>5.0975761045901319E-2</v>
      </c>
      <c r="R187" s="98">
        <f>+R96/R5</f>
        <v>4.6414684479200607E-2</v>
      </c>
      <c r="S187" s="95">
        <f>+S96/S$5/4</f>
        <v>6.0277705683882681E-2</v>
      </c>
      <c r="T187" s="95">
        <f>+T96/T$5/4</f>
        <v>4.9700176366843034E-2</v>
      </c>
      <c r="U187" s="95">
        <f>+U96/U$5/4</f>
        <v>5.0506396588486144E-2</v>
      </c>
      <c r="V187" s="95">
        <f>+V96/V$5/4</f>
        <v>3.5173349676063739E-2</v>
      </c>
      <c r="W187" s="98">
        <f>+W96/W5</f>
        <v>3.0806686603788054E-2</v>
      </c>
      <c r="X187" s="95">
        <f>+X96/X$5/4</f>
        <v>4.3442077230359519E-2</v>
      </c>
      <c r="Y187" s="95">
        <f>+Y96/Y$5/4</f>
        <v>4.1171857494958546E-2</v>
      </c>
      <c r="Z187" s="95">
        <f>+Z96/Z$5/4</f>
        <v>3.2585860431128974E-2</v>
      </c>
      <c r="AA187" s="95">
        <f>+AA96/AA$5/4</f>
        <v>7.5587969244685652E-2</v>
      </c>
      <c r="AB187" s="98">
        <f>+AB96/AB5</f>
        <v>7.0871985157699435E-2</v>
      </c>
      <c r="AC187" s="95">
        <f>+AC96/AC$5/4</f>
        <v>6.3962223653144454E-2</v>
      </c>
      <c r="AD187" s="95">
        <f>+AD96/AD$5/4</f>
        <v>6.0690015682174595E-2</v>
      </c>
      <c r="AE187" s="95">
        <f>+AE96/AE$5/4</f>
        <v>4.1747478665632269E-2</v>
      </c>
      <c r="AF187" s="95">
        <f>+AF96/AF$5/4</f>
        <v>5.7169092640457074E-2</v>
      </c>
      <c r="AG187" s="98">
        <f>+AG96/AG5</f>
        <v>4.5996825918021123E-2</v>
      </c>
      <c r="AH187" s="95">
        <f>+AH96/AH$5/4</f>
        <v>5.9373420919656389E-2</v>
      </c>
      <c r="AI187" s="95">
        <f>+AI96/AI$5/4</f>
        <v>5.348996350364963E-2</v>
      </c>
      <c r="AJ187" s="95">
        <f>+AJ96/AJ$5/4</f>
        <v>3.7739192062367116E-2</v>
      </c>
      <c r="AK187" s="95">
        <f>+AK96/AK$5/4</f>
        <v>5.3266544377028359E-2</v>
      </c>
      <c r="AL187" s="98">
        <f>+AL96/AL5</f>
        <v>4.4876367094626723E-2</v>
      </c>
      <c r="AM187" s="95">
        <f>+AM96/AM$5/4</f>
        <v>3.4603174603174601E-2</v>
      </c>
      <c r="AN187" s="95">
        <f>+AN96/AN$5/4</f>
        <v>2.9844691701437182E-2</v>
      </c>
      <c r="AO187" s="95">
        <f>+AO96/AO$5/4</f>
        <v>2.4135968543046359E-2</v>
      </c>
      <c r="AP187" s="95">
        <f>+AP96/AP$5/4</f>
        <v>0.1003425136306445</v>
      </c>
      <c r="AQ187" s="98">
        <f>+AQ96/AQ5</f>
        <v>8.6164465786314537E-2</v>
      </c>
      <c r="AR187" s="95">
        <f>+AR96/AR$5/4</f>
        <v>6.8628994175979854E-2</v>
      </c>
      <c r="AS187" s="95">
        <f>+AS96/AS$5/4</f>
        <v>5.3861199652274698E-2</v>
      </c>
      <c r="AT187" s="95">
        <f>+AT96/AT$5/4</f>
        <v>3.2110746396460679E-2</v>
      </c>
      <c r="AU187" s="95">
        <f>+AU96/AU$5/4</f>
        <v>5.4290718038528897E-2</v>
      </c>
      <c r="AV187" s="98">
        <f>+AV96/AV5</f>
        <v>5.1388313302942391E-2</v>
      </c>
      <c r="AW187" s="95">
        <f>+AW96/AW$5/4</f>
        <v>4.6983301827347196E-2</v>
      </c>
      <c r="AX187" s="95">
        <f>+AX96/AX$5/4</f>
        <v>5.2755905511811023E-2</v>
      </c>
      <c r="AY187" s="95">
        <f>+AY96/AY$5/4</f>
        <v>4.7170426391967661E-2</v>
      </c>
      <c r="AZ187" s="95">
        <f>+AZ96/AZ$5/4</f>
        <v>6.7143267710878002E-2</v>
      </c>
      <c r="BA187" s="98">
        <f>+BA96/BA5</f>
        <v>6.6843102893315701E-2</v>
      </c>
      <c r="BB187" s="95">
        <f>+BB96/BB$5/4</f>
        <v>8.0338580338580337E-2</v>
      </c>
      <c r="BC187" s="95">
        <f>+BC96/BC$5/4</f>
        <v>4.3567612001644065E-2</v>
      </c>
      <c r="BD187" s="95">
        <f>+BD96/BD$5/4</f>
        <v>4.8049608535993903E-2</v>
      </c>
      <c r="BE187" s="95">
        <f>+BE96/BE$5/4</f>
        <v>6.0660625774473356E-2</v>
      </c>
      <c r="BF187" s="98">
        <f>+BF96/BF5</f>
        <v>6.4363046202518648E-2</v>
      </c>
      <c r="BG187" s="95">
        <f>+BG96/BG$5/4</f>
        <v>5.3473132372214939E-2</v>
      </c>
      <c r="BH187" s="95">
        <f>+BH96/BH$5/4</f>
        <v>4.6342373724807172E-2</v>
      </c>
      <c r="BI187" s="95">
        <f>+BI96/BI$5/4</f>
        <v>5.4330197859228026E-2</v>
      </c>
      <c r="BJ187" s="95">
        <f>+BJ96/BJ$5/4</f>
        <v>6.9221671963929338E-2</v>
      </c>
      <c r="BK187" s="98">
        <f>+BK96/BK5</f>
        <v>6.2143331121433318E-2</v>
      </c>
      <c r="BL187" s="95">
        <f>+BL96/BL$5/4</f>
        <v>5.650401520259915E-2</v>
      </c>
      <c r="BM187" s="95">
        <f>+BM96/BM$5/4</f>
        <v>4.3440636898580819E-2</v>
      </c>
      <c r="BN187" s="95">
        <f>+BN96/BN$5/4</f>
        <v>5.643096616885096E-2</v>
      </c>
      <c r="BO187" s="95">
        <f>+BO96/BO$5/4</f>
        <v>5.028512182477967E-2</v>
      </c>
      <c r="BP187" s="98">
        <f>+BP96/BP5</f>
        <v>4.7400891820902818E-2</v>
      </c>
      <c r="BQ187" s="95">
        <f>+BQ96/BQ$5/4</f>
        <v>4.7961854899027677E-2</v>
      </c>
      <c r="BR187" s="95">
        <f>+BR96/BR$5/4</f>
        <v>3.7873540471007321E-2</v>
      </c>
      <c r="BS187" s="95">
        <f>+BS96/BS$5/4</f>
        <v>3.7061585197459265E-2</v>
      </c>
      <c r="BT187" s="95">
        <f>+BT96/BT$5/4</f>
        <v>5.5359336609336611E-2</v>
      </c>
      <c r="BU187" s="98">
        <f>+BU96/BU5</f>
        <v>4.917138375502967E-2</v>
      </c>
      <c r="BV187" s="95">
        <f>+BV96/BV$5/4</f>
        <v>5.0697494187548438E-2</v>
      </c>
      <c r="BW187" s="95">
        <f>+BW96/BW$5/4</f>
        <v>5.5744782921563929E-2</v>
      </c>
      <c r="BX187" s="95">
        <f>+BX96/BX$5/4</f>
        <v>6.169751542437886E-2</v>
      </c>
      <c r="BY187" s="95">
        <f>+BY96/BY$5/4</f>
        <v>7.411235064273175E-2</v>
      </c>
      <c r="BZ187" s="98">
        <f>+BZ96/BZ5</f>
        <v>6.9017798286090976E-2</v>
      </c>
      <c r="CA187" s="94">
        <f>+BV187</f>
        <v>5.0697494187548438E-2</v>
      </c>
      <c r="CB187" s="94">
        <f>+BW187</f>
        <v>5.5744782921563929E-2</v>
      </c>
      <c r="CC187" s="94">
        <f>+BX187</f>
        <v>6.169751542437886E-2</v>
      </c>
      <c r="CD187" s="94">
        <f>+BY187</f>
        <v>7.411235064273175E-2</v>
      </c>
      <c r="CE187" s="98">
        <f>+CE96/CE5</f>
        <v>6.8518309853277934E-2</v>
      </c>
      <c r="CF187" s="94">
        <f>+CA187</f>
        <v>5.0697494187548438E-2</v>
      </c>
      <c r="CG187" s="94">
        <f>+CB187</f>
        <v>5.5744782921563929E-2</v>
      </c>
      <c r="CH187" s="94">
        <f>+CC187</f>
        <v>6.169751542437886E-2</v>
      </c>
      <c r="CI187" s="94">
        <f>+CD187</f>
        <v>7.411235064273175E-2</v>
      </c>
      <c r="CJ187" s="98">
        <f>+CJ96/CJ5</f>
        <v>6.8351878131893792E-2</v>
      </c>
      <c r="CK187" s="94">
        <f>+CF187</f>
        <v>5.0697494187548438E-2</v>
      </c>
      <c r="CL187" s="94">
        <f>+CG187</f>
        <v>5.5744782921563929E-2</v>
      </c>
      <c r="CM187" s="94">
        <f>+CH187</f>
        <v>6.169751542437886E-2</v>
      </c>
      <c r="CN187" s="94">
        <f>+CI187</f>
        <v>7.411235064273175E-2</v>
      </c>
      <c r="CO187" s="98">
        <f>+CO96/CO5</f>
        <v>6.8241679541868605E-2</v>
      </c>
      <c r="CP187" s="94">
        <f>+CK187</f>
        <v>5.0697494187548438E-2</v>
      </c>
      <c r="CQ187" s="94">
        <f>+CL187</f>
        <v>5.5744782921563929E-2</v>
      </c>
      <c r="CR187" s="94">
        <f>+CM187</f>
        <v>6.169751542437886E-2</v>
      </c>
      <c r="CS187" s="94">
        <f>+CN187</f>
        <v>7.411235064273175E-2</v>
      </c>
      <c r="CT187" s="98">
        <f>+CT96/CT5</f>
        <v>6.8155118822419966E-2</v>
      </c>
      <c r="CU187" s="94">
        <f>+CP187</f>
        <v>5.0697494187548438E-2</v>
      </c>
      <c r="CV187" s="94">
        <f>+CQ187</f>
        <v>5.5744782921563929E-2</v>
      </c>
      <c r="CW187" s="94">
        <f>+CR187</f>
        <v>6.169751542437886E-2</v>
      </c>
      <c r="CX187" s="94">
        <f>+CS187</f>
        <v>7.411235064273175E-2</v>
      </c>
      <c r="CY187" s="98">
        <f>+CY96/CY5</f>
        <v>6.8076689139093469E-2</v>
      </c>
      <c r="CZ187" s="97"/>
      <c r="DA187" s="751"/>
      <c r="DB187" s="750"/>
      <c r="DC187" s="750"/>
      <c r="DD187" s="751"/>
      <c r="DE187" s="752"/>
      <c r="DF187" s="751"/>
      <c r="DG187" s="750"/>
      <c r="DH187" s="750"/>
      <c r="DI187" s="751"/>
      <c r="DJ187" s="751"/>
      <c r="DK187" s="751"/>
      <c r="DL187" s="751"/>
      <c r="DM187" s="751"/>
      <c r="DN187" s="751"/>
      <c r="DU187" s="243"/>
      <c r="DV187" s="243"/>
      <c r="DW187" s="751"/>
      <c r="DX187" s="751"/>
      <c r="DY187" s="751"/>
      <c r="DZ187" s="751"/>
      <c r="EA187" s="751"/>
    </row>
    <row r="188" spans="1:131" x14ac:dyDescent="0.2">
      <c r="A188" s="252" t="s">
        <v>182</v>
      </c>
      <c r="B188" s="252"/>
      <c r="C188" s="252"/>
      <c r="D188" s="245"/>
      <c r="E188" s="245"/>
      <c r="F188" s="245"/>
      <c r="G188" s="246"/>
      <c r="H188" s="247">
        <f>H149</f>
        <v>-105.09399999999999</v>
      </c>
      <c r="I188" s="248">
        <f>+I149+I150</f>
        <v>-21.667999999999999</v>
      </c>
      <c r="J188" s="248">
        <f>+J149+J150</f>
        <v>-28.217999999999996</v>
      </c>
      <c r="K188" s="248">
        <f>+K149+K150</f>
        <v>-27.244999999999997</v>
      </c>
      <c r="L188" s="246">
        <f t="shared" ref="L188:AQ188" si="283">L149</f>
        <v>-41.344000000000008</v>
      </c>
      <c r="M188" s="247">
        <f t="shared" si="283"/>
        <v>-119.7</v>
      </c>
      <c r="N188" s="246">
        <f t="shared" si="283"/>
        <v>-31.84</v>
      </c>
      <c r="O188" s="246">
        <f t="shared" si="283"/>
        <v>-31.16</v>
      </c>
      <c r="P188" s="246">
        <f t="shared" si="283"/>
        <v>-28.599999999999991</v>
      </c>
      <c r="Q188" s="246">
        <f t="shared" si="283"/>
        <v>-40.900000000000006</v>
      </c>
      <c r="R188" s="247">
        <f t="shared" si="283"/>
        <v>-132.5</v>
      </c>
      <c r="S188" s="246">
        <f t="shared" si="283"/>
        <v>-45.1</v>
      </c>
      <c r="T188" s="246">
        <f t="shared" si="283"/>
        <v>-57.999999999999993</v>
      </c>
      <c r="U188" s="246">
        <f t="shared" si="283"/>
        <v>-32.500000000000007</v>
      </c>
      <c r="V188" s="246">
        <f t="shared" si="283"/>
        <v>-56.4</v>
      </c>
      <c r="W188" s="247">
        <f t="shared" si="283"/>
        <v>-192</v>
      </c>
      <c r="X188" s="246">
        <f t="shared" si="283"/>
        <v>-17.7</v>
      </c>
      <c r="Y188" s="246">
        <f t="shared" si="283"/>
        <v>-29.3</v>
      </c>
      <c r="Z188" s="246">
        <f t="shared" si="283"/>
        <v>-32.5</v>
      </c>
      <c r="AA188" s="246">
        <f t="shared" si="283"/>
        <v>-64.300000000000011</v>
      </c>
      <c r="AB188" s="247">
        <f t="shared" si="283"/>
        <v>-143.80000000000001</v>
      </c>
      <c r="AC188" s="246">
        <f t="shared" si="283"/>
        <v>-22.2</v>
      </c>
      <c r="AD188" s="246">
        <f t="shared" si="283"/>
        <v>-29.8</v>
      </c>
      <c r="AE188" s="246">
        <f t="shared" si="283"/>
        <v>-43.599999999999994</v>
      </c>
      <c r="AF188" s="246">
        <f t="shared" si="283"/>
        <v>-33</v>
      </c>
      <c r="AG188" s="247">
        <f t="shared" si="283"/>
        <v>-128.6</v>
      </c>
      <c r="AH188" s="246">
        <f t="shared" si="283"/>
        <v>-47.1</v>
      </c>
      <c r="AI188" s="246">
        <f t="shared" si="283"/>
        <v>-17.999999999999993</v>
      </c>
      <c r="AJ188" s="246">
        <f t="shared" si="283"/>
        <v>-24.100000000000009</v>
      </c>
      <c r="AK188" s="246">
        <f t="shared" si="283"/>
        <v>-18.5</v>
      </c>
      <c r="AL188" s="247">
        <f t="shared" si="283"/>
        <v>-107.7</v>
      </c>
      <c r="AM188" s="246">
        <f t="shared" si="283"/>
        <v>-25.6</v>
      </c>
      <c r="AN188" s="246">
        <f t="shared" si="283"/>
        <v>-17.600000000000001</v>
      </c>
      <c r="AO188" s="246">
        <f t="shared" si="283"/>
        <v>-26.899999999999991</v>
      </c>
      <c r="AP188" s="246">
        <f t="shared" si="283"/>
        <v>-19</v>
      </c>
      <c r="AQ188" s="247">
        <f t="shared" si="283"/>
        <v>-89.1</v>
      </c>
      <c r="AR188" s="246">
        <f t="shared" ref="AR188:BU188" si="284">AR149</f>
        <v>-21</v>
      </c>
      <c r="AS188" s="246">
        <f t="shared" si="284"/>
        <v>-18.200000000000003</v>
      </c>
      <c r="AT188" s="246">
        <f t="shared" si="284"/>
        <v>-14.899999999999999</v>
      </c>
      <c r="AU188" s="246">
        <f t="shared" si="284"/>
        <v>-14.300000000000004</v>
      </c>
      <c r="AV188" s="247">
        <f t="shared" si="284"/>
        <v>-68.400000000000006</v>
      </c>
      <c r="AW188" s="246">
        <f t="shared" si="284"/>
        <v>-19.600000000000001</v>
      </c>
      <c r="AX188" s="246">
        <f t="shared" si="284"/>
        <v>-16</v>
      </c>
      <c r="AY188" s="246">
        <f t="shared" si="284"/>
        <v>-16.600000000000001</v>
      </c>
      <c r="AZ188" s="246">
        <f t="shared" si="284"/>
        <v>-9.8999999999999986</v>
      </c>
      <c r="BA188" s="247">
        <f t="shared" si="284"/>
        <v>-62.1</v>
      </c>
      <c r="BB188" s="246">
        <f t="shared" si="284"/>
        <v>-22</v>
      </c>
      <c r="BC188" s="246">
        <f t="shared" si="284"/>
        <v>-27.200000000000003</v>
      </c>
      <c r="BD188" s="246">
        <f t="shared" si="284"/>
        <v>-36.700000000000003</v>
      </c>
      <c r="BE188" s="246">
        <f t="shared" si="284"/>
        <v>-137.60000000000002</v>
      </c>
      <c r="BF188" s="247">
        <f t="shared" si="284"/>
        <v>-223.5</v>
      </c>
      <c r="BG188" s="246">
        <f t="shared" si="284"/>
        <v>-131.4</v>
      </c>
      <c r="BH188" s="246">
        <f>BH149</f>
        <v>-176.79999999999998</v>
      </c>
      <c r="BI188" s="246">
        <f>BI149</f>
        <v>-233.1</v>
      </c>
      <c r="BJ188" s="246">
        <f>BJ149</f>
        <v>-178.10000000000005</v>
      </c>
      <c r="BK188" s="247">
        <f t="shared" si="284"/>
        <v>-719.4</v>
      </c>
      <c r="BL188" s="246">
        <f>BL149</f>
        <v>-129.69999999999999</v>
      </c>
      <c r="BM188" s="246">
        <f>BM149</f>
        <v>-165.10000000000002</v>
      </c>
      <c r="BN188" s="246">
        <f t="shared" si="284"/>
        <v>-218.99999999999994</v>
      </c>
      <c r="BO188" s="246">
        <f>BO149</f>
        <v>-377.49999999999994</v>
      </c>
      <c r="BP188" s="247">
        <f t="shared" si="284"/>
        <v>-891.3</v>
      </c>
      <c r="BQ188" s="246">
        <f>BQ149</f>
        <v>-169.4</v>
      </c>
      <c r="BR188" s="246">
        <f>BR149</f>
        <v>-199.20000000000002</v>
      </c>
      <c r="BS188" s="246">
        <f t="shared" si="284"/>
        <v>-222.99999999999997</v>
      </c>
      <c r="BT188" s="246">
        <f>BT149</f>
        <v>-315.79999999999995</v>
      </c>
      <c r="BU188" s="247">
        <f t="shared" si="284"/>
        <v>-907.4</v>
      </c>
      <c r="BV188" s="246">
        <f>BV149</f>
        <v>-217.1</v>
      </c>
      <c r="BW188" s="246">
        <f>BW149</f>
        <v>-288</v>
      </c>
      <c r="BX188" s="246">
        <f t="shared" ref="BX188:CY188" si="285">BX149</f>
        <v>-200.50000000000003</v>
      </c>
      <c r="BY188" s="246">
        <f t="shared" ref="BY188" si="286">BY149</f>
        <v>-351.99999999999989</v>
      </c>
      <c r="BZ188" s="247">
        <f t="shared" si="285"/>
        <v>-1057.5999999999999</v>
      </c>
      <c r="CA188" s="246">
        <f t="shared" si="285"/>
        <v>-295.06185521062503</v>
      </c>
      <c r="CB188" s="246">
        <f t="shared" si="285"/>
        <v>-321.658461585</v>
      </c>
      <c r="CC188" s="246">
        <f t="shared" si="285"/>
        <v>-281.38575803624997</v>
      </c>
      <c r="CD188" s="246">
        <f t="shared" si="285"/>
        <v>-269.97944678250002</v>
      </c>
      <c r="CE188" s="247">
        <f t="shared" si="285"/>
        <v>-1168.085521614375</v>
      </c>
      <c r="CF188" s="246">
        <f t="shared" si="285"/>
        <v>-226.36875738686382</v>
      </c>
      <c r="CG188" s="246">
        <f t="shared" si="285"/>
        <v>-246.73232787438175</v>
      </c>
      <c r="CH188" s="246">
        <f t="shared" si="285"/>
        <v>-215.00214793711785</v>
      </c>
      <c r="CI188" s="246">
        <f t="shared" si="285"/>
        <v>-206.19753964189931</v>
      </c>
      <c r="CJ188" s="247">
        <f t="shared" si="285"/>
        <v>-894.30077284026265</v>
      </c>
      <c r="CK188" s="246">
        <f t="shared" si="285"/>
        <v>-151.40584202709655</v>
      </c>
      <c r="CL188" s="246">
        <f t="shared" si="285"/>
        <v>-165.0077944869133</v>
      </c>
      <c r="CM188" s="246">
        <f t="shared" si="285"/>
        <v>-143.41740209172676</v>
      </c>
      <c r="CN188" s="246">
        <f t="shared" si="285"/>
        <v>-137.50473456124718</v>
      </c>
      <c r="CO188" s="247">
        <f t="shared" si="285"/>
        <v>-597.3357731669837</v>
      </c>
      <c r="CP188" s="246">
        <f t="shared" si="285"/>
        <v>-91.69434266170714</v>
      </c>
      <c r="CQ188" s="246">
        <f t="shared" si="285"/>
        <v>-99.923342652656146</v>
      </c>
      <c r="CR188" s="246">
        <f t="shared" si="285"/>
        <v>-86.6732414214637</v>
      </c>
      <c r="CS188" s="246">
        <f t="shared" si="285"/>
        <v>-83.081148014095632</v>
      </c>
      <c r="CT188" s="247">
        <f t="shared" si="285"/>
        <v>-361.3720747499226</v>
      </c>
      <c r="CU188" s="246">
        <f t="shared" si="285"/>
        <v>-95.877496564829542</v>
      </c>
      <c r="CV188" s="246">
        <f t="shared" si="285"/>
        <v>-104.47376936909501</v>
      </c>
      <c r="CW188" s="246">
        <f t="shared" si="285"/>
        <v>-90.4541699293395</v>
      </c>
      <c r="CX188" s="246">
        <f t="shared" si="285"/>
        <v>-86.687551063893579</v>
      </c>
      <c r="CY188" s="247">
        <f t="shared" si="285"/>
        <v>-377.49298692715763</v>
      </c>
      <c r="CZ188" s="249"/>
      <c r="DA188" s="730"/>
      <c r="DB188" s="753"/>
      <c r="DC188" s="753"/>
      <c r="DD188" s="730"/>
      <c r="DF188" s="730"/>
      <c r="DG188" s="753"/>
      <c r="DH188" s="753"/>
      <c r="DI188" s="730"/>
      <c r="DJ188" s="730"/>
      <c r="DK188" s="730"/>
      <c r="DL188" s="730"/>
      <c r="DM188" s="730"/>
      <c r="DN188" s="730"/>
      <c r="DU188" s="48"/>
      <c r="DV188" s="48"/>
      <c r="DW188" s="730"/>
      <c r="DX188" s="730"/>
      <c r="DY188" s="730"/>
      <c r="DZ188" s="730"/>
      <c r="EA188" s="730"/>
    </row>
    <row r="189" spans="1:131" x14ac:dyDescent="0.2">
      <c r="A189" s="252" t="s">
        <v>183</v>
      </c>
      <c r="B189" s="252"/>
      <c r="C189" s="252"/>
      <c r="D189" s="242"/>
      <c r="E189" s="242"/>
      <c r="F189" s="242"/>
      <c r="G189" s="242"/>
      <c r="H189" s="199">
        <f t="shared" ref="H189:AM189" si="287">-H149/H5</f>
        <v>2.966039030899368E-2</v>
      </c>
      <c r="I189" s="54">
        <f t="shared" si="287"/>
        <v>2.3846522988660693E-2</v>
      </c>
      <c r="J189" s="54">
        <f t="shared" si="287"/>
        <v>2.7771107517206857E-2</v>
      </c>
      <c r="K189" s="54">
        <f t="shared" si="287"/>
        <v>2.5279287029421272E-2</v>
      </c>
      <c r="L189" s="54">
        <f t="shared" si="287"/>
        <v>3.9842687685329121E-2</v>
      </c>
      <c r="M189" s="199">
        <f t="shared" si="287"/>
        <v>2.9283415018648912E-2</v>
      </c>
      <c r="N189" s="54">
        <f t="shared" si="287"/>
        <v>2.9036920846119828E-2</v>
      </c>
      <c r="O189" s="54">
        <f t="shared" si="287"/>
        <v>2.6141838771300017E-2</v>
      </c>
      <c r="P189" s="54">
        <f t="shared" si="287"/>
        <v>2.2571225633335953E-2</v>
      </c>
      <c r="Q189" s="54">
        <f t="shared" si="287"/>
        <v>3.9030441836053059E-2</v>
      </c>
      <c r="R189" s="199">
        <f t="shared" si="287"/>
        <v>2.8782448137286847E-2</v>
      </c>
      <c r="S189" s="54">
        <f t="shared" si="287"/>
        <v>3.9017216022147243E-2</v>
      </c>
      <c r="T189" s="54">
        <f t="shared" si="287"/>
        <v>4.0917107583774245E-2</v>
      </c>
      <c r="U189" s="54">
        <f t="shared" si="287"/>
        <v>2.1655117270788917E-2</v>
      </c>
      <c r="V189" s="54">
        <f t="shared" si="287"/>
        <v>4.9378392575731053E-2</v>
      </c>
      <c r="W189" s="199">
        <f t="shared" si="287"/>
        <v>3.6806993328732461E-2</v>
      </c>
      <c r="X189" s="54">
        <f t="shared" si="287"/>
        <v>1.9640479360852194E-2</v>
      </c>
      <c r="Y189" s="54">
        <f t="shared" si="287"/>
        <v>3.2825453730674435E-2</v>
      </c>
      <c r="Z189" s="54">
        <f t="shared" si="287"/>
        <v>2.9685787358421631E-2</v>
      </c>
      <c r="AA189" s="54">
        <f t="shared" si="287"/>
        <v>7.2704658525554064E-2</v>
      </c>
      <c r="AB189" s="199">
        <f t="shared" si="287"/>
        <v>3.8112907500662603E-2</v>
      </c>
      <c r="AC189" s="54">
        <f t="shared" si="287"/>
        <v>2.3824855119124272E-2</v>
      </c>
      <c r="AD189" s="54">
        <f t="shared" si="287"/>
        <v>3.1155253528489284E-2</v>
      </c>
      <c r="AE189" s="54">
        <f t="shared" si="287"/>
        <v>4.2280837858805265E-2</v>
      </c>
      <c r="AF189" s="54">
        <f t="shared" si="287"/>
        <v>4.489185144878248E-2</v>
      </c>
      <c r="AG189" s="199">
        <f t="shared" si="287"/>
        <v>3.5188529524434957E-2</v>
      </c>
      <c r="AH189" s="54">
        <f t="shared" si="287"/>
        <v>5.949974734714502E-2</v>
      </c>
      <c r="AI189" s="54">
        <f t="shared" si="287"/>
        <v>2.052919708029196E-2</v>
      </c>
      <c r="AJ189" s="54">
        <f t="shared" si="287"/>
        <v>2.4400121494380894E-2</v>
      </c>
      <c r="AK189" s="54">
        <f t="shared" si="287"/>
        <v>2.610413433046423E-2</v>
      </c>
      <c r="AL189" s="199">
        <f t="shared" si="287"/>
        <v>3.2007845934379456E-2</v>
      </c>
      <c r="AM189" s="54">
        <f t="shared" si="287"/>
        <v>3.2507936507936507E-2</v>
      </c>
      <c r="AN189" s="54">
        <f t="shared" ref="AN189:BH189" si="288">-AN149/AN5</f>
        <v>2.0398701900788133E-2</v>
      </c>
      <c r="AO189" s="54">
        <f t="shared" si="288"/>
        <v>2.7835264900662245E-2</v>
      </c>
      <c r="AP189" s="54">
        <f t="shared" si="288"/>
        <v>2.6562281560184541E-2</v>
      </c>
      <c r="AQ189" s="199">
        <f t="shared" si="288"/>
        <v>2.6740696278511403E-2</v>
      </c>
      <c r="AR189" s="54">
        <f t="shared" si="288"/>
        <v>3.3055249488430666E-2</v>
      </c>
      <c r="AS189" s="54">
        <f t="shared" si="288"/>
        <v>2.6369168356997975E-2</v>
      </c>
      <c r="AT189" s="54">
        <f t="shared" si="288"/>
        <v>2.1264449835878402E-2</v>
      </c>
      <c r="AU189" s="54">
        <f t="shared" si="288"/>
        <v>2.2767075306479867E-2</v>
      </c>
      <c r="AV189" s="199">
        <f t="shared" si="288"/>
        <v>2.5769506084466716E-2</v>
      </c>
      <c r="AW189" s="54">
        <f t="shared" si="288"/>
        <v>3.0875866414618782E-2</v>
      </c>
      <c r="AX189" s="54">
        <f t="shared" si="288"/>
        <v>2.2906227630637079E-2</v>
      </c>
      <c r="AY189" s="54">
        <f t="shared" si="288"/>
        <v>2.1645586125961666E-2</v>
      </c>
      <c r="AZ189" s="54">
        <f t="shared" si="288"/>
        <v>1.422618192269004E-2</v>
      </c>
      <c r="BA189" s="199">
        <f t="shared" si="288"/>
        <v>2.2209506097779049E-2</v>
      </c>
      <c r="BB189" s="54">
        <f t="shared" si="288"/>
        <v>3.267003267003267E-2</v>
      </c>
      <c r="BC189" s="54">
        <f t="shared" si="288"/>
        <v>1.8632689409508154E-2</v>
      </c>
      <c r="BD189" s="54">
        <f t="shared" si="288"/>
        <v>2.5427838980115018E-2</v>
      </c>
      <c r="BE189" s="54">
        <f t="shared" si="288"/>
        <v>0.10656753407682777</v>
      </c>
      <c r="BF189" s="199">
        <f t="shared" si="288"/>
        <v>4.5914908478336791E-2</v>
      </c>
      <c r="BG189" s="54">
        <f t="shared" si="288"/>
        <v>8.6107470511140233E-2</v>
      </c>
      <c r="BH189" s="54">
        <f t="shared" si="288"/>
        <v>0.10997760636974371</v>
      </c>
      <c r="BI189" s="54">
        <f t="shared" ref="BI189:BQ189" si="289">-BI149/BI5</f>
        <v>0.15121634771326631</v>
      </c>
      <c r="BJ189" s="54">
        <f t="shared" si="289"/>
        <v>0.1316431369650381</v>
      </c>
      <c r="BK189" s="199">
        <f t="shared" si="289"/>
        <v>0.11934306569343066</v>
      </c>
      <c r="BL189" s="54">
        <f t="shared" si="289"/>
        <v>7.9507141543554219E-2</v>
      </c>
      <c r="BM189" s="54">
        <f t="shared" si="289"/>
        <v>9.5246336679358501E-2</v>
      </c>
      <c r="BN189" s="54">
        <f t="shared" si="289"/>
        <v>0.13349588540079241</v>
      </c>
      <c r="BO189" s="54">
        <f t="shared" si="289"/>
        <v>0.24462156557801965</v>
      </c>
      <c r="BP189" s="199">
        <f>-BP149/BP5</f>
        <v>0.13610958402052409</v>
      </c>
      <c r="BQ189" s="54">
        <f t="shared" si="289"/>
        <v>9.0501121914734486E-2</v>
      </c>
      <c r="BR189" s="54">
        <f t="shared" ref="BR189:BX189" si="290">-BR149/BR5</f>
        <v>9.855531367504454E-2</v>
      </c>
      <c r="BS189" s="54">
        <f t="shared" si="290"/>
        <v>0.12317039491853078</v>
      </c>
      <c r="BT189" s="54">
        <f t="shared" si="290"/>
        <v>0.19398034398034394</v>
      </c>
      <c r="BU189" s="199">
        <f t="shared" si="290"/>
        <v>0.12376730546272932</v>
      </c>
      <c r="BV189" s="54">
        <f t="shared" si="290"/>
        <v>0.11216739860501163</v>
      </c>
      <c r="BW189" s="610">
        <f t="shared" si="290"/>
        <v>0.13816262892780043</v>
      </c>
      <c r="BX189" s="617">
        <f t="shared" si="290"/>
        <v>0.11144461119448615</v>
      </c>
      <c r="BY189" s="623">
        <f t="shared" ref="BY189" si="291">-BY149/BY5</f>
        <v>0.19933178549181713</v>
      </c>
      <c r="BZ189" s="199">
        <f>-BZ149/BZ5</f>
        <v>0.13943309162821357</v>
      </c>
      <c r="CA189" s="123">
        <v>0.14249999999999999</v>
      </c>
      <c r="CB189" s="123">
        <v>0.14249999999999999</v>
      </c>
      <c r="CC189" s="123">
        <v>0.14249999999999999</v>
      </c>
      <c r="CD189" s="123">
        <v>0.14249999999999999</v>
      </c>
      <c r="CE189" s="199">
        <f>-CE149/CE5</f>
        <v>0.14250000000000002</v>
      </c>
      <c r="CF189" s="123">
        <v>0.10249999999999999</v>
      </c>
      <c r="CG189" s="123">
        <v>0.10249999999999999</v>
      </c>
      <c r="CH189" s="123">
        <v>0.10249999999999999</v>
      </c>
      <c r="CI189" s="123">
        <v>0.10249999999999999</v>
      </c>
      <c r="CJ189" s="199">
        <f>-CJ149/CJ5</f>
        <v>0.10249999999999998</v>
      </c>
      <c r="CK189" s="123">
        <v>6.5000000000000002E-2</v>
      </c>
      <c r="CL189" s="123">
        <v>6.5000000000000002E-2</v>
      </c>
      <c r="CM189" s="123">
        <v>6.5000000000000002E-2</v>
      </c>
      <c r="CN189" s="123">
        <v>6.5000000000000002E-2</v>
      </c>
      <c r="CO189" s="199">
        <f>-CO149/CO5</f>
        <v>6.4999999999999988E-2</v>
      </c>
      <c r="CP189" s="123">
        <v>3.7499999999999999E-2</v>
      </c>
      <c r="CQ189" s="123">
        <v>3.7499999999999999E-2</v>
      </c>
      <c r="CR189" s="123">
        <v>3.7499999999999999E-2</v>
      </c>
      <c r="CS189" s="123">
        <v>3.7499999999999999E-2</v>
      </c>
      <c r="CT189" s="199">
        <f>-CT149/CT5</f>
        <v>3.7499999999999992E-2</v>
      </c>
      <c r="CU189" s="123">
        <f>CP189</f>
        <v>3.7499999999999999E-2</v>
      </c>
      <c r="CV189" s="123">
        <f>CU189</f>
        <v>3.7499999999999999E-2</v>
      </c>
      <c r="CW189" s="123">
        <f>CV189</f>
        <v>3.7499999999999999E-2</v>
      </c>
      <c r="CX189" s="123">
        <f>CW189</f>
        <v>3.7499999999999999E-2</v>
      </c>
      <c r="CY189" s="199">
        <f>-CY149/CY5</f>
        <v>3.7500000000000006E-2</v>
      </c>
      <c r="CZ189" s="253"/>
      <c r="DA189" s="730"/>
      <c r="DB189" s="748"/>
      <c r="DC189" s="748"/>
      <c r="DD189" s="730"/>
      <c r="DF189" s="730"/>
      <c r="DG189" s="748"/>
      <c r="DH189" s="748"/>
      <c r="DI189" s="730"/>
      <c r="DJ189" s="730"/>
      <c r="DK189" s="730"/>
      <c r="DL189" s="730"/>
      <c r="DM189" s="730"/>
      <c r="DN189" s="730"/>
      <c r="DU189" s="48"/>
      <c r="DV189" s="48"/>
      <c r="DW189" s="730"/>
      <c r="DX189" s="730"/>
      <c r="DY189" s="730"/>
      <c r="DZ189" s="730"/>
      <c r="EA189" s="730"/>
    </row>
    <row r="190" spans="1:131" x14ac:dyDescent="0.2">
      <c r="A190" s="48" t="s">
        <v>184</v>
      </c>
      <c r="B190" s="48"/>
      <c r="C190" s="48"/>
      <c r="D190" s="242"/>
      <c r="E190" s="242"/>
      <c r="F190" s="242"/>
      <c r="G190" s="242"/>
      <c r="H190" s="199"/>
      <c r="I190" s="54">
        <f>I134*4/G99</f>
        <v>8.8412028118341979E-2</v>
      </c>
      <c r="J190" s="54">
        <f>J134*4/I99</f>
        <v>9.3567868947663169E-2</v>
      </c>
      <c r="K190" s="54">
        <f>K134*4/J99</f>
        <v>9.2511104536228947E-2</v>
      </c>
      <c r="L190" s="54">
        <f>L134*4/K99</f>
        <v>0.10706806515608464</v>
      </c>
      <c r="M190" s="199">
        <f>M134/H99</f>
        <v>9.4499353905092384E-2</v>
      </c>
      <c r="N190" s="54">
        <f>N134*4/M99</f>
        <v>7.3364082319416532E-2</v>
      </c>
      <c r="O190" s="54">
        <f>O134*4/N99</f>
        <v>7.9532973856028796E-2</v>
      </c>
      <c r="P190" s="54">
        <f>P134*4/O99</f>
        <v>9.5017485856772263E-2</v>
      </c>
      <c r="Q190" s="54">
        <f>Q134*4/P99</f>
        <v>0.10126331644432815</v>
      </c>
      <c r="R190" s="199">
        <f>R134/M99</f>
        <v>8.0244705634731864E-2</v>
      </c>
      <c r="S190" s="54">
        <f>S134*4/R99</f>
        <v>8.0544559804335655E-2</v>
      </c>
      <c r="T190" s="54">
        <f>T134*4/S99</f>
        <v>9.2881402925071049E-2</v>
      </c>
      <c r="U190" s="54">
        <f>U134*4/T99</f>
        <v>8.4800659560685471E-2</v>
      </c>
      <c r="V190" s="54">
        <f>V134*4/U99</f>
        <v>9.6360119570951253E-2</v>
      </c>
      <c r="W190" s="199">
        <f>W134/R99</f>
        <v>9.7733947567456056E-2</v>
      </c>
      <c r="X190" s="54">
        <f>X134*4/W99</f>
        <v>8.844703462461434E-2</v>
      </c>
      <c r="Y190" s="54">
        <f>Y134*4/X99</f>
        <v>8.7833963994954703E-2</v>
      </c>
      <c r="Z190" s="54">
        <f>Z134*4/Y99</f>
        <v>9.3717459215550164E-2</v>
      </c>
      <c r="AA190" s="54">
        <f>AA134*4/Z99</f>
        <v>0.10804174340085937</v>
      </c>
      <c r="AB190" s="199">
        <f>AB134/W99</f>
        <v>9.4789166952348292E-2</v>
      </c>
      <c r="AC190" s="54">
        <f>AC134*4/AB99</f>
        <v>8.6879606879606885E-2</v>
      </c>
      <c r="AD190" s="54">
        <f>AD134*4/AC99</f>
        <v>8.157986370193504E-2</v>
      </c>
      <c r="AE190" s="54">
        <f>AE134*4/AD99</f>
        <v>7.7598995777701699E-2</v>
      </c>
      <c r="AF190" s="54">
        <f>AF134*4/AE99</f>
        <v>9.5526914329037149E-2</v>
      </c>
      <c r="AG190" s="199">
        <f>AG134/AB99</f>
        <v>7.7149877149877144E-2</v>
      </c>
      <c r="AH190" s="54">
        <f>AH134*4/AG99</f>
        <v>9.6155088852988693E-2</v>
      </c>
      <c r="AI190" s="54">
        <f>AI134*4/AH99</f>
        <v>0.11243110838946722</v>
      </c>
      <c r="AJ190" s="54">
        <f>AJ134*4/AI99</f>
        <v>9.1956856702619438E-2</v>
      </c>
      <c r="AK190" s="54">
        <f>AK134*4/AJ99</f>
        <v>8.6086692937253712E-2</v>
      </c>
      <c r="AL190" s="199">
        <f>AL134/AL99</f>
        <v>9.9476773864216439E-2</v>
      </c>
      <c r="AM190" s="54">
        <f>AM134*4/AL99</f>
        <v>8.8310362429811134E-2</v>
      </c>
      <c r="AN190" s="54">
        <f>AN134*4/AM99</f>
        <v>8.8515332589139128E-2</v>
      </c>
      <c r="AO190" s="54">
        <f>AO134*4/AN99</f>
        <v>9.0516677567037324E-2</v>
      </c>
      <c r="AP190" s="54">
        <f>AP134*4/AO99</f>
        <v>7.9429342587237356E-2</v>
      </c>
      <c r="AQ190" s="199">
        <f>AQ134/AQ99</f>
        <v>0.10970810101672682</v>
      </c>
      <c r="AR190" s="54">
        <f>AR134*4/AQ99</f>
        <v>8.8225647753361766E-2</v>
      </c>
      <c r="AS190" s="54">
        <f>AS134*4/AR99</f>
        <v>8.2554643698708047E-2</v>
      </c>
      <c r="AT190" s="54">
        <f>AT134*4/AS99</f>
        <v>9.1216760676873482E-2</v>
      </c>
      <c r="AU190" s="54">
        <f>AU134*4/AT99</f>
        <v>9.4910921147239785E-2</v>
      </c>
      <c r="AV190" s="199">
        <f>AV134/AV99</f>
        <v>8.7832457397674799E-2</v>
      </c>
      <c r="AW190" s="54">
        <f>AW134*4/AV99</f>
        <v>9.3964007007485278E-2</v>
      </c>
      <c r="AX190" s="54">
        <f>AX134*4/AW99</f>
        <v>7.5137396439996715E-2</v>
      </c>
      <c r="AY190" s="54">
        <f>AY134*4/AX99</f>
        <v>0.11706526145115523</v>
      </c>
      <c r="AZ190" s="54">
        <f>AZ134*4/AY99</f>
        <v>6.3717959084660825E-2</v>
      </c>
      <c r="BA190" s="199">
        <f>BA134/BA99</f>
        <v>8.8039056143205854E-2</v>
      </c>
      <c r="BB190" s="54">
        <f>BB134*4/BA99</f>
        <v>9.9918633034987797E-2</v>
      </c>
      <c r="BC190" s="54">
        <f>BC134*4/BB99</f>
        <v>0.15071215634315996</v>
      </c>
      <c r="BD190" s="54">
        <f>BD134*4/BC99</f>
        <v>7.9341317365269476E-2</v>
      </c>
      <c r="BE190" s="54">
        <f>BE134*4/BD99</f>
        <v>5.5631363493229793E-2</v>
      </c>
      <c r="BF190" s="199">
        <f>BF134/BF99</f>
        <v>6.9403763093878773E-2</v>
      </c>
      <c r="BG190" s="54">
        <f>BG134*4/BF99</f>
        <v>7.744625924638833E-2</v>
      </c>
      <c r="BH190" s="54">
        <f>BH134*4/BG99</f>
        <v>7.2875620045431369E-2</v>
      </c>
      <c r="BI190" s="54">
        <f>BI134*4/BH99</f>
        <v>6.9742162702726221E-2</v>
      </c>
      <c r="BJ190" s="54">
        <f>BJ134*4/BI99</f>
        <v>7.2092927121656811E-2</v>
      </c>
      <c r="BK190" s="199">
        <f>BK134/BK99</f>
        <v>6.0411694510739862E-2</v>
      </c>
      <c r="BL190" s="54">
        <f>BL134*4/BK99</f>
        <v>6.4140811455847255E-2</v>
      </c>
      <c r="BM190" s="54">
        <f>BM134*4/BL99</f>
        <v>6.6664235439991254E-2</v>
      </c>
      <c r="BN190" s="54">
        <f>BN134*4/BM99</f>
        <v>6.0289186168102971E-2</v>
      </c>
      <c r="BO190" s="54">
        <f>BO134*4/BN99</f>
        <v>0.12275347575449307</v>
      </c>
      <c r="BP190" s="199">
        <f>BP134/BP99</f>
        <v>6.6298674026519469E-2</v>
      </c>
      <c r="BQ190" s="54">
        <f>BQ134*4/BP99</f>
        <v>7.1998560028799424E-2</v>
      </c>
      <c r="BR190" s="54">
        <f>BR134*4/BQ99</f>
        <v>6.8658759124087601E-2</v>
      </c>
      <c r="BS190" s="54">
        <f>BS134*4/BR99</f>
        <v>6.9931995264447586E-2</v>
      </c>
      <c r="BT190" s="54">
        <f>BT134*4/BS99</f>
        <v>0.11887810140237322</v>
      </c>
      <c r="BU190" s="199">
        <f>BU134/BU99</f>
        <v>7.473047192839706E-2</v>
      </c>
      <c r="BV190" s="54">
        <f>BV134*4/BU99</f>
        <v>7.1297803091944667E-2</v>
      </c>
      <c r="BW190" s="610">
        <f>BW134*4/BV99</f>
        <v>6.7639542382192094E-2</v>
      </c>
      <c r="BX190" s="617">
        <f>BX134*4/BW99</f>
        <v>6.5857264459477621E-2</v>
      </c>
      <c r="BY190" s="623">
        <f>BY134*4/BX99</f>
        <v>6.9786860030762468E-2</v>
      </c>
      <c r="BZ190" s="199">
        <f>BZ134/BZ99</f>
        <v>6.1339958661294033E-2</v>
      </c>
      <c r="CA190" s="566">
        <f>BV190-0.2%</f>
        <v>6.9297803091944665E-2</v>
      </c>
      <c r="CB190" s="566">
        <f t="shared" ref="CB190:CD190" si="292">BW190-0.2%</f>
        <v>6.5639542382192093E-2</v>
      </c>
      <c r="CC190" s="566">
        <f t="shared" si="292"/>
        <v>6.385726445947762E-2</v>
      </c>
      <c r="CD190" s="566">
        <f t="shared" si="292"/>
        <v>6.7786860030762466E-2</v>
      </c>
      <c r="CE190" s="199">
        <f>CE134/CE99</f>
        <v>6.0693283247034498E-2</v>
      </c>
      <c r="CF190" s="94">
        <f>CA190-0.5%</f>
        <v>6.4297803091944661E-2</v>
      </c>
      <c r="CG190" s="94">
        <f t="shared" ref="CG190:CI190" si="293">CB190-0.5%</f>
        <v>6.0639542382192095E-2</v>
      </c>
      <c r="CH190" s="94">
        <f t="shared" si="293"/>
        <v>5.8857264459477622E-2</v>
      </c>
      <c r="CI190" s="94">
        <f t="shared" si="293"/>
        <v>6.2786860030762462E-2</v>
      </c>
      <c r="CJ190" s="199">
        <f>CJ134/CJ99</f>
        <v>5.8407705947888688E-2</v>
      </c>
      <c r="CK190" s="123">
        <f>CF190+1.2%</f>
        <v>7.6297803091944658E-2</v>
      </c>
      <c r="CL190" s="123">
        <f>CG190+1.2%</f>
        <v>7.2639542382192099E-2</v>
      </c>
      <c r="CM190" s="123">
        <f>CH190+1.2%</f>
        <v>7.0857264459477626E-2</v>
      </c>
      <c r="CN190" s="123">
        <f>CI190+1.2%</f>
        <v>7.4786860030762459E-2</v>
      </c>
      <c r="CO190" s="199">
        <f>CO134/CO99</f>
        <v>7.2706010267013593E-2</v>
      </c>
      <c r="CP190" s="123">
        <f>CK190</f>
        <v>7.6297803091944658E-2</v>
      </c>
      <c r="CQ190" s="123">
        <f>CL190</f>
        <v>7.2639542382192099E-2</v>
      </c>
      <c r="CR190" s="123">
        <f>CM190</f>
        <v>7.0857264459477626E-2</v>
      </c>
      <c r="CS190" s="123">
        <f>CN190</f>
        <v>7.4786860030762459E-2</v>
      </c>
      <c r="CT190" s="199">
        <f>CT134/CT99</f>
        <v>7.4425210556284524E-2</v>
      </c>
      <c r="CU190" s="123">
        <f>CP190</f>
        <v>7.6297803091944658E-2</v>
      </c>
      <c r="CV190" s="123">
        <f>CQ190</f>
        <v>7.2639542382192099E-2</v>
      </c>
      <c r="CW190" s="123">
        <f>CR190</f>
        <v>7.0857264459477626E-2</v>
      </c>
      <c r="CX190" s="123">
        <f>CS190</f>
        <v>7.4786860030762459E-2</v>
      </c>
      <c r="CY190" s="199">
        <f>CY134/CY99</f>
        <v>7.4268292706401354E-2</v>
      </c>
      <c r="CZ190" s="253"/>
      <c r="DA190" s="730"/>
      <c r="DB190" s="748"/>
      <c r="DC190" s="748"/>
      <c r="DD190" s="730"/>
      <c r="DF190" s="730"/>
      <c r="DG190" s="748"/>
      <c r="DH190" s="748"/>
      <c r="DI190" s="730"/>
      <c r="DJ190" s="730"/>
      <c r="DK190" s="730"/>
      <c r="DL190" s="730"/>
      <c r="DM190" s="730"/>
      <c r="DN190" s="730"/>
      <c r="DU190" s="48"/>
      <c r="DV190" s="48"/>
      <c r="DW190" s="730"/>
      <c r="DX190" s="730"/>
      <c r="DY190" s="730"/>
      <c r="DZ190" s="730"/>
      <c r="EA190" s="730"/>
    </row>
    <row r="191" spans="1:131" x14ac:dyDescent="0.2">
      <c r="A191" s="48" t="s">
        <v>185</v>
      </c>
      <c r="B191" s="48"/>
      <c r="C191" s="48"/>
      <c r="D191" s="95"/>
      <c r="E191" s="95"/>
      <c r="F191" s="95"/>
      <c r="G191" s="90"/>
      <c r="H191" s="98">
        <f t="shared" ref="H191:AM191" si="294">+H134/H99</f>
        <v>9.2908265458435765E-2</v>
      </c>
      <c r="I191" s="95">
        <f t="shared" si="294"/>
        <v>2.286684528983526E-2</v>
      </c>
      <c r="J191" s="95">
        <f t="shared" si="294"/>
        <v>2.3379359602290824E-2</v>
      </c>
      <c r="K191" s="95">
        <f t="shared" si="294"/>
        <v>2.183582872952752E-2</v>
      </c>
      <c r="L191" s="90">
        <f t="shared" si="294"/>
        <v>1.8847796277422429E-2</v>
      </c>
      <c r="M191" s="98">
        <f t="shared" si="294"/>
        <v>6.4959999799544851E-2</v>
      </c>
      <c r="N191" s="90">
        <f t="shared" si="294"/>
        <v>2.0199211872685429E-2</v>
      </c>
      <c r="O191" s="95">
        <f t="shared" si="294"/>
        <v>2.0018267250570421E-2</v>
      </c>
      <c r="P191" s="90">
        <f t="shared" si="294"/>
        <v>2.418439540779346E-2</v>
      </c>
      <c r="Q191" s="90">
        <f t="shared" si="294"/>
        <v>2.5117554364069827E-2</v>
      </c>
      <c r="R191" s="98">
        <f t="shared" si="294"/>
        <v>8.9875941732886738E-2</v>
      </c>
      <c r="S191" s="90">
        <f t="shared" si="294"/>
        <v>1.9893255701115962E-2</v>
      </c>
      <c r="T191" s="90">
        <f t="shared" si="294"/>
        <v>1.9727931217242801E-2</v>
      </c>
      <c r="U191" s="90">
        <f t="shared" si="294"/>
        <v>2.1100756110427291E-2</v>
      </c>
      <c r="V191" s="90">
        <f t="shared" si="294"/>
        <v>2.3483030510798752E-2</v>
      </c>
      <c r="W191" s="98">
        <f t="shared" si="294"/>
        <v>7.9590903896697512E-2</v>
      </c>
      <c r="X191" s="90">
        <f t="shared" si="294"/>
        <v>2.2187822497420021E-2</v>
      </c>
      <c r="Y191" s="90">
        <f t="shared" si="294"/>
        <v>2.2156658567626979E-2</v>
      </c>
      <c r="Z191" s="90">
        <f t="shared" si="294"/>
        <v>2.2601707684580613E-2</v>
      </c>
      <c r="AA191" s="90">
        <f t="shared" si="294"/>
        <v>2.3783783783783773E-2</v>
      </c>
      <c r="AB191" s="98">
        <f t="shared" si="294"/>
        <v>8.1523341523341508E-2</v>
      </c>
      <c r="AC191" s="90">
        <f t="shared" si="294"/>
        <v>2.1986768144058103E-2</v>
      </c>
      <c r="AD191" s="90">
        <f t="shared" si="294"/>
        <v>2.3393814903571838E-2</v>
      </c>
      <c r="AE191" s="90">
        <f t="shared" si="294"/>
        <v>2.1480919888804649E-2</v>
      </c>
      <c r="AF191" s="90">
        <f t="shared" si="294"/>
        <v>2.4426494345718898E-2</v>
      </c>
      <c r="AG191" s="98">
        <f t="shared" si="294"/>
        <v>0.10145395799676898</v>
      </c>
      <c r="AH191" s="90">
        <f t="shared" si="294"/>
        <v>2.2780159216166565E-2</v>
      </c>
      <c r="AI191" s="90">
        <f t="shared" si="294"/>
        <v>2.8289676425269639E-2</v>
      </c>
      <c r="AJ191" s="90">
        <f t="shared" si="294"/>
        <v>2.2612913003940596E-2</v>
      </c>
      <c r="AK191" s="90">
        <f t="shared" si="294"/>
        <v>2.2651863195507913E-2</v>
      </c>
      <c r="AL191" s="98">
        <f t="shared" si="294"/>
        <v>9.9476773864216439E-2</v>
      </c>
      <c r="AM191" s="90">
        <f t="shared" si="294"/>
        <v>2.271981088712325E-2</v>
      </c>
      <c r="AN191" s="90">
        <f t="shared" ref="AN191:BS191" si="295">+AN134/AN99</f>
        <v>2.2040549378678873E-2</v>
      </c>
      <c r="AO191" s="90">
        <f t="shared" si="295"/>
        <v>2.2235074866653826E-2</v>
      </c>
      <c r="AP191" s="90">
        <f t="shared" si="295"/>
        <v>2.5336175795342749E-2</v>
      </c>
      <c r="AQ191" s="98">
        <f t="shared" si="295"/>
        <v>0.10970810101672682</v>
      </c>
      <c r="AR191" s="90">
        <f t="shared" si="295"/>
        <v>2.1857479483220928E-2</v>
      </c>
      <c r="AS191" s="90">
        <f t="shared" si="295"/>
        <v>2.0467365028203059E-2</v>
      </c>
      <c r="AT191" s="90">
        <f t="shared" si="295"/>
        <v>2.2609251418071418E-2</v>
      </c>
      <c r="AU191" s="90">
        <f t="shared" si="295"/>
        <v>2.3650262780697571E-2</v>
      </c>
      <c r="AV191" s="98">
        <f t="shared" si="295"/>
        <v>8.7832457397674799E-2</v>
      </c>
      <c r="AW191" s="90">
        <f t="shared" si="295"/>
        <v>2.4198178984496763E-2</v>
      </c>
      <c r="AX191" s="90">
        <f t="shared" si="295"/>
        <v>1.8565058775841102E-2</v>
      </c>
      <c r="AY191" s="90">
        <f t="shared" si="295"/>
        <v>2.9190587854774797E-2</v>
      </c>
      <c r="AZ191" s="90">
        <f t="shared" si="295"/>
        <v>1.6029292107404402E-2</v>
      </c>
      <c r="BA191" s="98">
        <f t="shared" si="295"/>
        <v>8.8039056143205854E-2</v>
      </c>
      <c r="BB191" s="90">
        <f t="shared" si="295"/>
        <v>2.5422325273269295E-2</v>
      </c>
      <c r="BC191" s="90">
        <f t="shared" si="295"/>
        <v>2.4326347305389212E-2</v>
      </c>
      <c r="BD191" s="90">
        <f t="shared" si="295"/>
        <v>1.9470977222630421E-2</v>
      </c>
      <c r="BE191" s="90">
        <f t="shared" si="295"/>
        <v>1.3155935064290332E-2</v>
      </c>
      <c r="BF191" s="98">
        <f t="shared" si="295"/>
        <v>6.9403763093878773E-2</v>
      </c>
      <c r="BG191" s="90">
        <f t="shared" si="295"/>
        <v>1.8079829400584117E-2</v>
      </c>
      <c r="BH191" s="90">
        <f>+BH134/BH99</f>
        <v>1.7087699465194138E-2</v>
      </c>
      <c r="BI191" s="90">
        <f>+BI134/BI99</f>
        <v>1.6576412715472701E-2</v>
      </c>
      <c r="BJ191" s="90">
        <f>+BJ134/BJ99</f>
        <v>1.6258949880668255E-2</v>
      </c>
      <c r="BK191" s="98">
        <f t="shared" si="295"/>
        <v>6.0411694510739862E-2</v>
      </c>
      <c r="BL191" s="90">
        <f>+BL134/BL99</f>
        <v>1.5681412056453084E-2</v>
      </c>
      <c r="BM191" s="90">
        <f t="shared" si="295"/>
        <v>1.6478563444272166E-2</v>
      </c>
      <c r="BN191" s="90">
        <f>+BN134/BN99</f>
        <v>1.4174296371651407E-2</v>
      </c>
      <c r="BO191" s="90">
        <f>+BO134/BO99</f>
        <v>2.7149457010859787E-2</v>
      </c>
      <c r="BP191" s="98">
        <f t="shared" si="295"/>
        <v>6.6298674026519469E-2</v>
      </c>
      <c r="BQ191" s="90">
        <f t="shared" si="295"/>
        <v>1.7107664233576642E-2</v>
      </c>
      <c r="BR191" s="90">
        <f>+BR134/BR99</f>
        <v>1.6574433523306079E-2</v>
      </c>
      <c r="BS191" s="90">
        <f t="shared" si="295"/>
        <v>1.7125134843581448E-2</v>
      </c>
      <c r="BT191" s="90">
        <f>+BT134/BT99</f>
        <v>2.8020748576078103E-2</v>
      </c>
      <c r="BU191" s="98">
        <f t="shared" ref="BU191:CY191" si="296">+BU134/BU99</f>
        <v>7.473047192839706E-2</v>
      </c>
      <c r="BV191" s="90">
        <f>+BV134/BV99</f>
        <v>1.6742697461128758E-2</v>
      </c>
      <c r="BW191" s="90">
        <f>+BW134/BW99</f>
        <v>1.5859504502486452E-2</v>
      </c>
      <c r="BX191" s="90">
        <f t="shared" si="296"/>
        <v>1.6150296638101518E-2</v>
      </c>
      <c r="BY191" s="90">
        <f t="shared" ref="BY191" si="297">+BY134/BY99</f>
        <v>1.6577238657953526E-2</v>
      </c>
      <c r="BZ191" s="98">
        <f t="shared" si="296"/>
        <v>6.1339958661294033E-2</v>
      </c>
      <c r="CA191" s="90">
        <f>+CA134/CA99</f>
        <v>1.6589868647480011E-2</v>
      </c>
      <c r="CB191" s="90">
        <f t="shared" si="296"/>
        <v>1.5659798846885804E-2</v>
      </c>
      <c r="CC191" s="90">
        <f t="shared" si="296"/>
        <v>1.5384011292726468E-2</v>
      </c>
      <c r="CD191" s="90">
        <f t="shared" si="296"/>
        <v>1.6410258539553614E-2</v>
      </c>
      <c r="CE191" s="98">
        <f t="shared" si="296"/>
        <v>6.0693283247034498E-2</v>
      </c>
      <c r="CF191" s="90">
        <f t="shared" si="296"/>
        <v>1.5694225660008346E-2</v>
      </c>
      <c r="CG191" s="90">
        <f t="shared" si="296"/>
        <v>1.4750873202210524E-2</v>
      </c>
      <c r="CH191" s="90">
        <f t="shared" si="296"/>
        <v>1.4402504445338462E-2</v>
      </c>
      <c r="CI191" s="90">
        <f t="shared" si="296"/>
        <v>1.541252001290888E-2</v>
      </c>
      <c r="CJ191" s="98">
        <f t="shared" si="296"/>
        <v>5.8407705947888688E-2</v>
      </c>
      <c r="CK191" s="90">
        <f t="shared" si="296"/>
        <v>1.8969418453105524E-2</v>
      </c>
      <c r="CL191" s="90">
        <f t="shared" si="296"/>
        <v>1.8006562815200043E-2</v>
      </c>
      <c r="CM191" s="90">
        <f t="shared" si="296"/>
        <v>1.7621373803380618E-2</v>
      </c>
      <c r="CN191" s="90">
        <f t="shared" si="296"/>
        <v>1.8636544873338053E-2</v>
      </c>
      <c r="CO191" s="98">
        <f t="shared" si="296"/>
        <v>7.2706010267013593E-2</v>
      </c>
      <c r="CP191" s="90">
        <f t="shared" si="296"/>
        <v>1.9160687484104308E-2</v>
      </c>
      <c r="CQ191" s="90">
        <f t="shared" si="296"/>
        <v>1.8200042910368339E-2</v>
      </c>
      <c r="CR191" s="90">
        <f t="shared" si="296"/>
        <v>1.7782703774746118E-2</v>
      </c>
      <c r="CS191" s="90">
        <f t="shared" si="296"/>
        <v>1.8797310463797564E-2</v>
      </c>
      <c r="CT191" s="98">
        <f t="shared" si="296"/>
        <v>7.4425210556284524E-2</v>
      </c>
      <c r="CU191" s="90">
        <f t="shared" si="296"/>
        <v>1.9143194280239105E-2</v>
      </c>
      <c r="CV191" s="90">
        <f t="shared" si="296"/>
        <v>1.8182202748916004E-2</v>
      </c>
      <c r="CW191" s="90">
        <f t="shared" si="296"/>
        <v>1.7768261308892572E-2</v>
      </c>
      <c r="CX191" s="90">
        <f t="shared" si="296"/>
        <v>1.8782868715939639E-2</v>
      </c>
      <c r="CY191" s="98">
        <f t="shared" si="296"/>
        <v>7.4268292706401354E-2</v>
      </c>
      <c r="CZ191" s="97"/>
      <c r="DA191" s="730"/>
      <c r="DB191" s="750"/>
      <c r="DC191" s="750"/>
      <c r="DD191" s="730"/>
      <c r="DF191" s="730"/>
      <c r="DG191" s="750"/>
      <c r="DH191" s="750"/>
      <c r="DI191" s="730"/>
      <c r="DJ191" s="730"/>
      <c r="DK191" s="730"/>
      <c r="DL191" s="730"/>
      <c r="DM191" s="730"/>
      <c r="DN191" s="730"/>
      <c r="DU191" s="48"/>
      <c r="DV191" s="48"/>
      <c r="DW191" s="730"/>
      <c r="DX191" s="730"/>
      <c r="DY191" s="730"/>
      <c r="DZ191" s="730"/>
      <c r="EA191" s="730"/>
    </row>
    <row r="192" spans="1:131" x14ac:dyDescent="0.2">
      <c r="A192" s="243" t="s">
        <v>186</v>
      </c>
      <c r="B192" s="243"/>
      <c r="C192" s="243"/>
      <c r="D192" s="95"/>
      <c r="E192" s="95"/>
      <c r="F192" s="95"/>
      <c r="G192" s="95"/>
      <c r="H192" s="98">
        <f>-H107/H11</f>
        <v>0.10642702005446347</v>
      </c>
      <c r="I192" s="95">
        <f>-I107/I11/4</f>
        <v>0.13416460814935338</v>
      </c>
      <c r="J192" s="95">
        <f>-J107/J11/4</f>
        <v>0.13502631698839318</v>
      </c>
      <c r="K192" s="95">
        <f>-K107/K11/4</f>
        <v>0.12415565373610674</v>
      </c>
      <c r="L192" s="95">
        <f>-L107/L11/4</f>
        <v>0.11681651037176487</v>
      </c>
      <c r="M192" s="98">
        <f>-M107/M11</f>
        <v>0.11780043796347668</v>
      </c>
      <c r="N192" s="95">
        <f>-N107/N11/4</f>
        <v>0.12395217057241645</v>
      </c>
      <c r="O192" s="95">
        <f>-O107/O11/4</f>
        <v>0.10839540174829361</v>
      </c>
      <c r="P192" s="95">
        <f>-P107/P11/4</f>
        <v>0.13999365921143647</v>
      </c>
      <c r="Q192" s="95">
        <f>-Q107/Q11/4</f>
        <v>0.10411308572949945</v>
      </c>
      <c r="R192" s="98">
        <f>-R107/R11</f>
        <v>9.6716440981883395E-2</v>
      </c>
      <c r="S192" s="95">
        <f>-S107/S11/4</f>
        <v>0.10939935259561204</v>
      </c>
      <c r="T192" s="95">
        <f>-T107/T11/4</f>
        <v>0.10564548562236074</v>
      </c>
      <c r="U192" s="95">
        <f>-U107/U11/4</f>
        <v>0.13126872161561501</v>
      </c>
      <c r="V192" s="95">
        <f>-V107/V11/4</f>
        <v>0.11926052765093861</v>
      </c>
      <c r="W192" s="98">
        <f>-W107/W11</f>
        <v>0.10298466593647317</v>
      </c>
      <c r="X192" s="95">
        <f>-X107/X11/4</f>
        <v>0.10774008600095558</v>
      </c>
      <c r="Y192" s="95">
        <f>-Y107/Y11/4</f>
        <v>0.12158540802213003</v>
      </c>
      <c r="Z192" s="95">
        <f>-Z107/Z11/4</f>
        <v>0.12573476702508962</v>
      </c>
      <c r="AA192" s="95">
        <f>-AA107/AA11/4</f>
        <v>0.1576430247247789</v>
      </c>
      <c r="AB192" s="98">
        <f>-AB107/AB11</f>
        <v>0.14215387119085396</v>
      </c>
      <c r="AC192" s="95">
        <f>-AC107/AC11/4</f>
        <v>0.1561444969615125</v>
      </c>
      <c r="AD192" s="95">
        <f>-AD107/AD11/4</f>
        <v>0.14572506286672254</v>
      </c>
      <c r="AE192" s="95">
        <f>-AE107/AE11/4</f>
        <v>0.13922107304460243</v>
      </c>
      <c r="AF192" s="95">
        <f>-AF107/AF11/4</f>
        <v>0.14741625816993462</v>
      </c>
      <c r="AG192" s="98">
        <f>-AG107/AG11</f>
        <v>0.12566926391851302</v>
      </c>
      <c r="AH192" s="95">
        <f>-AH107/AH11/4</f>
        <v>0.13397361272797828</v>
      </c>
      <c r="AI192" s="95">
        <f>-AI107/AI11/4</f>
        <v>0.1352637302882001</v>
      </c>
      <c r="AJ192" s="95">
        <f>-AJ107/AJ11/4</f>
        <v>0.14751723057644112</v>
      </c>
      <c r="AK192" s="95">
        <f>-AK107/AK11/4</f>
        <v>0.13939016801493467</v>
      </c>
      <c r="AL192" s="98">
        <f>-AL107/AL11</f>
        <v>0.12287438288535382</v>
      </c>
      <c r="AM192" s="95">
        <f>-AM107/AM11/4</f>
        <v>0.10902036857419981</v>
      </c>
      <c r="AN192" s="95">
        <f>-AN107/AN11/4</f>
        <v>0.11566891768570907</v>
      </c>
      <c r="AO192" s="95">
        <f>-AO107/AO11/4</f>
        <v>0.13645255950440172</v>
      </c>
      <c r="AP192" s="95">
        <f>-AP107/AP11/4</f>
        <v>7.0156385751520417E-2</v>
      </c>
      <c r="AQ192" s="98">
        <f>-AQ107/AQ11</f>
        <v>6.0452929066067737E-2</v>
      </c>
      <c r="AR192" s="95">
        <f>-AR107/AR11/4</f>
        <v>6.8211403280395724E-2</v>
      </c>
      <c r="AS192" s="95">
        <f>-AS107/AS11/4</f>
        <v>8.5175632522721673E-2</v>
      </c>
      <c r="AT192" s="95">
        <f>-AT107/AT11/4</f>
        <v>0.16223021582733815</v>
      </c>
      <c r="AU192" s="95">
        <f>-AU107/AU11/4</f>
        <v>8.5383407484951573E-2</v>
      </c>
      <c r="AV192" s="98">
        <f>-AV107/AV11</f>
        <v>8.2059988681380869E-2</v>
      </c>
      <c r="AW192" s="95">
        <f>-AW107/AW11/4</f>
        <v>7.6421491914449663E-2</v>
      </c>
      <c r="AX192" s="95">
        <f>-AX107/AX11/4</f>
        <v>0.11264870114105366</v>
      </c>
      <c r="AY192" s="95">
        <f>-AY107/AY11/4</f>
        <v>0.16589352772255353</v>
      </c>
      <c r="AZ192" s="95">
        <f>-AZ107/AZ11/4</f>
        <v>0.12094907407407407</v>
      </c>
      <c r="BA192" s="98">
        <f>-BA107/BA11</f>
        <v>0.12440476190476191</v>
      </c>
      <c r="BB192" s="95">
        <f>-BB107/BB11/4</f>
        <v>9.0187590187590191E-2</v>
      </c>
      <c r="BC192" s="95">
        <f>-BC107/BC11/4</f>
        <v>9.791092745638201E-2</v>
      </c>
      <c r="BD192" s="95">
        <f>-BD107/BD11/4</f>
        <v>0.13904257878277604</v>
      </c>
      <c r="BE192" s="95">
        <f>-BE107/BE11/4</f>
        <v>9.9514563106796128E-2</v>
      </c>
      <c r="BF192" s="98">
        <f>-BF107/BF11</f>
        <v>0.10321678321678321</v>
      </c>
      <c r="BG192" s="95">
        <f>-BG107/BG11/4</f>
        <v>0.10191627358490565</v>
      </c>
      <c r="BH192" s="95">
        <f>-BH107/BH11/4</f>
        <v>0.12142778632666519</v>
      </c>
      <c r="BI192" s="95">
        <f>-BI107/BI11/4</f>
        <v>0.12797038227528412</v>
      </c>
      <c r="BJ192" s="95">
        <f>-BJ107/BJ11/4</f>
        <v>9.3889618922470441E-2</v>
      </c>
      <c r="BK192" s="98">
        <f>-BK107/BK11</f>
        <v>8.4309271659930976E-2</v>
      </c>
      <c r="BL192" s="95">
        <f>-BL107/BL11/4</f>
        <v>8.1611336946702806E-2</v>
      </c>
      <c r="BM192" s="95">
        <f>-BM107/BM11/4</f>
        <v>9.8955572049623589E-2</v>
      </c>
      <c r="BN192" s="95">
        <f>-BN107/BN11/4</f>
        <v>0.11942458290772896</v>
      </c>
      <c r="BO192" s="95">
        <f>-BO107/BO11/4</f>
        <v>0.12968221362977284</v>
      </c>
      <c r="BP192" s="98">
        <f>-BP107/BP11</f>
        <v>0.12136032113982022</v>
      </c>
      <c r="BQ192" s="95">
        <f>-BQ107/BQ11/4</f>
        <v>0.13940195686900958</v>
      </c>
      <c r="BR192" s="95">
        <f>-BR107/BR11/4</f>
        <v>0.14866215958864978</v>
      </c>
      <c r="BS192" s="95">
        <f>-BS107/BS11/4</f>
        <v>0.20848180542058092</v>
      </c>
      <c r="BT192" s="95">
        <f>-BT107/BT11/4</f>
        <v>0.16629039923954372</v>
      </c>
      <c r="BU192" s="98">
        <f>-BU107/BU11</f>
        <v>0.1465636863463804</v>
      </c>
      <c r="BV192" s="95">
        <f>-BV107/BV11/4</f>
        <v>0.14981233243967826</v>
      </c>
      <c r="BW192" s="95">
        <f>-BW107/BW11/4</f>
        <v>0.14710052806571486</v>
      </c>
      <c r="BX192" s="95">
        <f>-BX107/BX11/4</f>
        <v>0.20899977472403694</v>
      </c>
      <c r="BY192" s="95">
        <f>-BY107/BY11/4</f>
        <v>0.16508697591436219</v>
      </c>
      <c r="BZ192" s="98">
        <f>-BZ107/BZ11</f>
        <v>0.15835494825788166</v>
      </c>
      <c r="CA192" s="94">
        <f>BV192</f>
        <v>0.14981233243967826</v>
      </c>
      <c r="CB192" s="94">
        <f t="shared" ref="CB192:CD192" si="298">BW192</f>
        <v>0.14710052806571486</v>
      </c>
      <c r="CC192" s="94">
        <f t="shared" si="298"/>
        <v>0.20899977472403694</v>
      </c>
      <c r="CD192" s="94">
        <f t="shared" si="298"/>
        <v>0.16508697591436219</v>
      </c>
      <c r="CE192" s="98">
        <f>-CE107/CE11</f>
        <v>0.15657838889934414</v>
      </c>
      <c r="CF192" s="94">
        <f>CA192+0.5%</f>
        <v>0.15481233243967826</v>
      </c>
      <c r="CG192" s="94">
        <f>CB192+0.5%</f>
        <v>0.15210052806571486</v>
      </c>
      <c r="CH192" s="94">
        <f>CC192+0.5%</f>
        <v>0.21399977472403695</v>
      </c>
      <c r="CI192" s="94">
        <f>CD192+0.5%</f>
        <v>0.1700869759143622</v>
      </c>
      <c r="CJ192" s="98">
        <f>-CJ107/CJ11</f>
        <v>0.16101998037016019</v>
      </c>
      <c r="CK192" s="94">
        <f>CF192</f>
        <v>0.15481233243967826</v>
      </c>
      <c r="CL192" s="94">
        <f>CG192</f>
        <v>0.15210052806571486</v>
      </c>
      <c r="CM192" s="94">
        <f>CH192</f>
        <v>0.21399977472403695</v>
      </c>
      <c r="CN192" s="94">
        <f>CI192</f>
        <v>0.1700869759143622</v>
      </c>
      <c r="CO192" s="98">
        <f>-CO107/CO11</f>
        <v>0.1608050679183744</v>
      </c>
      <c r="CP192" s="94">
        <f>CK192</f>
        <v>0.15481233243967826</v>
      </c>
      <c r="CQ192" s="94">
        <f>CL192</f>
        <v>0.15210052806571486</v>
      </c>
      <c r="CR192" s="94">
        <f>CM192</f>
        <v>0.21399977472403695</v>
      </c>
      <c r="CS192" s="94">
        <f>CN192</f>
        <v>0.1700869759143622</v>
      </c>
      <c r="CT192" s="98">
        <f>-CT107/CT11</f>
        <v>0.16063092024809467</v>
      </c>
      <c r="CU192" s="94">
        <f>CP192</f>
        <v>0.15481233243967826</v>
      </c>
      <c r="CV192" s="94">
        <f>CQ192</f>
        <v>0.15210052806571486</v>
      </c>
      <c r="CW192" s="94">
        <f>CR192</f>
        <v>0.21399977472403695</v>
      </c>
      <c r="CX192" s="94">
        <f>CS192</f>
        <v>0.1700869759143622</v>
      </c>
      <c r="CY192" s="98">
        <f>-CY107/CY11</f>
        <v>0.1604754961228019</v>
      </c>
      <c r="CZ192" s="97"/>
      <c r="DA192" s="751"/>
      <c r="DB192" s="750"/>
      <c r="DC192" s="750"/>
      <c r="DD192" s="751"/>
      <c r="DE192" s="752"/>
      <c r="DF192" s="751"/>
      <c r="DG192" s="750"/>
      <c r="DH192" s="750"/>
      <c r="DI192" s="751"/>
      <c r="DJ192" s="751"/>
      <c r="DK192" s="751"/>
      <c r="DL192" s="751"/>
      <c r="DM192" s="751"/>
      <c r="DN192" s="751"/>
      <c r="DU192" s="243"/>
      <c r="DV192" s="243"/>
      <c r="DW192" s="751"/>
      <c r="DX192" s="751"/>
      <c r="DY192" s="751"/>
      <c r="DZ192" s="751"/>
      <c r="EA192" s="751"/>
    </row>
    <row r="193" spans="1:131" x14ac:dyDescent="0.2">
      <c r="A193" s="244"/>
      <c r="B193" s="243" t="s">
        <v>187</v>
      </c>
      <c r="C193" s="244"/>
      <c r="D193" s="245"/>
      <c r="E193" s="245"/>
      <c r="F193" s="245"/>
      <c r="G193" s="246"/>
      <c r="H193" s="247">
        <f>-H107/H11*365</f>
        <v>38.845862319879167</v>
      </c>
      <c r="I193" s="248">
        <f>-I107/I11*365/4</f>
        <v>48.970081974513981</v>
      </c>
      <c r="J193" s="248">
        <f>-J107/J11*365/4</f>
        <v>49.284605700763514</v>
      </c>
      <c r="K193" s="248">
        <f>-K107/K11*365/4</f>
        <v>45.31681361367896</v>
      </c>
      <c r="L193" s="246">
        <f>-L107/L11*365/4</f>
        <v>42.638026285694174</v>
      </c>
      <c r="M193" s="247">
        <f>-M107/M11*365</f>
        <v>42.997159856668986</v>
      </c>
      <c r="N193" s="246">
        <f>-N107/N11*365/4</f>
        <v>45.242542258932005</v>
      </c>
      <c r="O193" s="248">
        <f>-O107/O11*365/4</f>
        <v>39.564321638127169</v>
      </c>
      <c r="P193" s="246">
        <f>-P107/P11*365/4</f>
        <v>51.09768561217431</v>
      </c>
      <c r="Q193" s="246">
        <f>-Q107/Q11*365/4</f>
        <v>38.001276291267303</v>
      </c>
      <c r="R193" s="247">
        <f>-R107/R11*365</f>
        <v>35.301500958387436</v>
      </c>
      <c r="S193" s="246">
        <f>-S107/S11*365/4</f>
        <v>39.93076369739839</v>
      </c>
      <c r="T193" s="246">
        <f>-T107/T11*365/4</f>
        <v>38.560602252161672</v>
      </c>
      <c r="U193" s="246">
        <f>-U107/U11*365/4</f>
        <v>47.91308338969948</v>
      </c>
      <c r="V193" s="246">
        <f>-V107/V11*365/4</f>
        <v>43.530092592592595</v>
      </c>
      <c r="W193" s="247">
        <f>-W107/W11*365</f>
        <v>37.589403066812707</v>
      </c>
      <c r="X193" s="246">
        <f>-X107/X11*365/4</f>
        <v>39.325131390348787</v>
      </c>
      <c r="Y193" s="246">
        <f>-Y107/Y11*365/4</f>
        <v>44.378673928077461</v>
      </c>
      <c r="Z193" s="246">
        <f>-Z107/Z11*365/4</f>
        <v>45.893189964157713</v>
      </c>
      <c r="AA193" s="246">
        <f>-AA107/AA11*365/4</f>
        <v>57.539704024544299</v>
      </c>
      <c r="AB193" s="247">
        <f>-AB107/AB11*365</f>
        <v>51.886162984661695</v>
      </c>
      <c r="AC193" s="246">
        <f>-AC107/AC11*365/4</f>
        <v>56.992741390952062</v>
      </c>
      <c r="AD193" s="246">
        <f>-AD107/AD11*365/4</f>
        <v>53.18964794635373</v>
      </c>
      <c r="AE193" s="246">
        <f>-AE107/AE11*365/4</f>
        <v>50.815691661279885</v>
      </c>
      <c r="AF193" s="246">
        <f>-AF107/AF11*365/4</f>
        <v>53.806934232026137</v>
      </c>
      <c r="AG193" s="247">
        <f>-AG107/AG11*365</f>
        <v>45.869281330257252</v>
      </c>
      <c r="AH193" s="246">
        <f>-AH107/AH11*365/4</f>
        <v>48.900368645712071</v>
      </c>
      <c r="AI193" s="246">
        <f>-AI107/AI11*365/4</f>
        <v>49.371261555193037</v>
      </c>
      <c r="AJ193" s="246">
        <f>-AJ107/AJ11*365/4</f>
        <v>53.843789160401009</v>
      </c>
      <c r="AK193" s="246">
        <f>-AK107/AK11*365/4</f>
        <v>50.877411325451156</v>
      </c>
      <c r="AL193" s="247">
        <f>-AL107/AL11*365</f>
        <v>44.849149753154144</v>
      </c>
      <c r="AM193" s="246">
        <f>-AM107/AM11*365/4</f>
        <v>39.792434529582927</v>
      </c>
      <c r="AN193" s="246">
        <f>-AN107/AN11*365/4</f>
        <v>42.219154955283813</v>
      </c>
      <c r="AO193" s="246">
        <f>-AO107/AO11*365/4</f>
        <v>49.805184219106629</v>
      </c>
      <c r="AP193" s="246">
        <f>-AP107/AP11*365/4</f>
        <v>25.607080799304953</v>
      </c>
      <c r="AQ193" s="247">
        <f>-AQ107/AQ11*365</f>
        <v>22.065319109114725</v>
      </c>
      <c r="AR193" s="246">
        <f>-AR107/AR11*365/4</f>
        <v>24.897162197344439</v>
      </c>
      <c r="AS193" s="246">
        <f>-AS107/AS11*365/4</f>
        <v>31.089105870793411</v>
      </c>
      <c r="AT193" s="246">
        <f>-AT107/AT11*365/4</f>
        <v>59.214028776978424</v>
      </c>
      <c r="AU193" s="246">
        <f>-AU107/AU11*365/4</f>
        <v>31.164943732007323</v>
      </c>
      <c r="AV193" s="247">
        <f>-AV107/AV11*365</f>
        <v>29.951895868704018</v>
      </c>
      <c r="AW193" s="246">
        <f>-AW107/AW11*365/4</f>
        <v>27.893844548774126</v>
      </c>
      <c r="AX193" s="246">
        <f>-AX107/AX11*365/4</f>
        <v>41.116775916484585</v>
      </c>
      <c r="AY193" s="246">
        <f>-AY107/AY11*365/4</f>
        <v>60.551137618732035</v>
      </c>
      <c r="AZ193" s="246">
        <f>-AZ107/AZ11*365/4</f>
        <v>44.146412037037038</v>
      </c>
      <c r="BA193" s="247">
        <f>-BA107/BA11*365</f>
        <v>45.407738095238095</v>
      </c>
      <c r="BB193" s="246">
        <f>-BB107/BB11*365/4</f>
        <v>32.91847041847042</v>
      </c>
      <c r="BC193" s="246">
        <f>-BC107/BC11*365/4</f>
        <v>35.737488521579436</v>
      </c>
      <c r="BD193" s="246">
        <f>-BD107/BD11*365/4</f>
        <v>50.750541255713252</v>
      </c>
      <c r="BE193" s="246">
        <f>-BE107/BE11*365/4</f>
        <v>36.322815533980588</v>
      </c>
      <c r="BF193" s="247">
        <f>-BF107/BF11*365</f>
        <v>37.67412587412587</v>
      </c>
      <c r="BG193" s="246">
        <f>-BG107/BG11*365/4</f>
        <v>37.199439858490564</v>
      </c>
      <c r="BH193" s="246">
        <f>-BH107/BH11*365/4</f>
        <v>44.321142009232794</v>
      </c>
      <c r="BI193" s="246">
        <f>-BI107/BI11*365/4</f>
        <v>46.709189530478703</v>
      </c>
      <c r="BJ193" s="246">
        <f>-BJ107/BJ11*365/4</f>
        <v>34.269710906701711</v>
      </c>
      <c r="BK193" s="247">
        <f>-BK107/BK11*365</f>
        <v>30.772884155874806</v>
      </c>
      <c r="BL193" s="246">
        <f>-BL107/BL11*365/4</f>
        <v>29.788137985546523</v>
      </c>
      <c r="BM193" s="246">
        <f>-BM107/BM11*365/4</f>
        <v>36.118783798112609</v>
      </c>
      <c r="BN193" s="246">
        <f>-BN107/BN11*365/4</f>
        <v>43.589972761321071</v>
      </c>
      <c r="BO193" s="246">
        <f>-BO107/BO11*365/4</f>
        <v>47.334007974867085</v>
      </c>
      <c r="BP193" s="247">
        <f>-BP107/BP11*365</f>
        <v>44.296517216034381</v>
      </c>
      <c r="BQ193" s="246">
        <f>-BQ107/BQ11*365/4</f>
        <v>50.881714257188499</v>
      </c>
      <c r="BR193" s="246">
        <f>-BR107/BR11*365/4</f>
        <v>54.261688249857173</v>
      </c>
      <c r="BS193" s="246">
        <f>-BS107/BS11*365/4</f>
        <v>76.095858978512041</v>
      </c>
      <c r="BT193" s="246">
        <f>-BT107/BT11*365/4</f>
        <v>60.695995722433459</v>
      </c>
      <c r="BU193" s="247">
        <f>-BU107/BU11*365</f>
        <v>53.495745516428848</v>
      </c>
      <c r="BV193" s="246">
        <f>-BV107/BV11*365/4</f>
        <v>54.681501340482562</v>
      </c>
      <c r="BW193" s="246">
        <f>-BW107/BW11*365/4</f>
        <v>53.691692743985925</v>
      </c>
      <c r="BX193" s="246">
        <f>-BX107/BX11*365/4</f>
        <v>76.284917774273481</v>
      </c>
      <c r="BY193" s="246">
        <f>-BY107/BY11*365/4</f>
        <v>60.2567462087422</v>
      </c>
      <c r="BZ193" s="247">
        <f>-BZ107/BZ11*365</f>
        <v>57.799556114126801</v>
      </c>
      <c r="CA193" s="246">
        <f>-CA107/CA11*365/4</f>
        <v>54.681501340482562</v>
      </c>
      <c r="CB193" s="246">
        <f>-CB107/CB11*365/4</f>
        <v>53.691692743985925</v>
      </c>
      <c r="CC193" s="246">
        <f>-CC107/CC11*365/4</f>
        <v>76.284917774273481</v>
      </c>
      <c r="CD193" s="246">
        <f>-CD107/CD11*365/4</f>
        <v>60.2567462087422</v>
      </c>
      <c r="CE193" s="247">
        <f>-CE107/CE11*365</f>
        <v>57.151111948260613</v>
      </c>
      <c r="CF193" s="246">
        <f>-CF107/CF11*365/4</f>
        <v>56.506501340482565</v>
      </c>
      <c r="CG193" s="246">
        <f>-CG107/CG11*365/4</f>
        <v>55.516692743985928</v>
      </c>
      <c r="CH193" s="246">
        <f>-CH107/CH11*365/4</f>
        <v>78.109917774273484</v>
      </c>
      <c r="CI193" s="246">
        <f>-CI107/CI11*365/4</f>
        <v>62.081746208742203</v>
      </c>
      <c r="CJ193" s="247">
        <f>-CJ107/CJ11*365</f>
        <v>58.772292835108466</v>
      </c>
      <c r="CK193" s="246">
        <f>-CK107/CK11*365/4</f>
        <v>56.506501340482565</v>
      </c>
      <c r="CL193" s="246">
        <f>-CL107/CL11*365/4</f>
        <v>55.516692743985928</v>
      </c>
      <c r="CM193" s="246">
        <f>-CM107/CM11*365/4</f>
        <v>78.109917774273484</v>
      </c>
      <c r="CN193" s="246">
        <f>-CN107/CN11*365/4</f>
        <v>62.081746208742203</v>
      </c>
      <c r="CO193" s="247">
        <f>-CO107/CO11*365</f>
        <v>58.693849790206656</v>
      </c>
      <c r="CP193" s="246">
        <f>-CP107/CP11*365/4</f>
        <v>56.506501340482565</v>
      </c>
      <c r="CQ193" s="246">
        <f>-CQ107/CQ11*365/4</f>
        <v>55.516692743985928</v>
      </c>
      <c r="CR193" s="246">
        <f>-CR107/CR11*365/4</f>
        <v>78.109917774273484</v>
      </c>
      <c r="CS193" s="246">
        <f>-CS107/CS11*365/4</f>
        <v>62.081746208742203</v>
      </c>
      <c r="CT193" s="247">
        <f>-CT107/CT11*365</f>
        <v>58.630285890554553</v>
      </c>
      <c r="CU193" s="246">
        <f>-CU107/CU11*365/4</f>
        <v>56.506501340482565</v>
      </c>
      <c r="CV193" s="246">
        <f>-CV107/CV11*365/4</f>
        <v>55.516692743985928</v>
      </c>
      <c r="CW193" s="246">
        <f>-CW107/CW11*365/4</f>
        <v>78.109917774273484</v>
      </c>
      <c r="CX193" s="246">
        <f>-CX107/CX11*365/4</f>
        <v>62.081746208742203</v>
      </c>
      <c r="CY193" s="247">
        <f>-CY107/CY11*365</f>
        <v>58.573556084822691</v>
      </c>
      <c r="CZ193" s="249"/>
      <c r="DA193" s="420"/>
      <c r="DB193" s="753"/>
      <c r="DC193" s="753"/>
      <c r="DD193" s="420"/>
      <c r="DE193" s="725"/>
      <c r="DF193" s="420"/>
      <c r="DG193" s="753"/>
      <c r="DH193" s="753"/>
      <c r="DI193" s="420"/>
      <c r="DJ193" s="420"/>
      <c r="DK193" s="420"/>
      <c r="DL193" s="420"/>
      <c r="DM193" s="420"/>
      <c r="DN193" s="420"/>
      <c r="DU193" s="250"/>
      <c r="DV193" s="250"/>
      <c r="DW193" s="420"/>
      <c r="DX193" s="420"/>
      <c r="DY193" s="420"/>
      <c r="DZ193" s="420"/>
      <c r="EA193" s="420"/>
    </row>
    <row r="194" spans="1:131" x14ac:dyDescent="0.2">
      <c r="A194" s="250" t="s">
        <v>124</v>
      </c>
      <c r="B194" s="250"/>
      <c r="C194" s="244"/>
      <c r="D194" s="90"/>
      <c r="E194" s="90"/>
      <c r="F194" s="90"/>
      <c r="G194" s="90"/>
      <c r="H194" s="98">
        <f>H108/H$5</f>
        <v>0.13842512680470215</v>
      </c>
      <c r="I194" s="90">
        <f>I108/I$5/4</f>
        <v>0.12222407945605816</v>
      </c>
      <c r="J194" s="90">
        <f>J108/J$5/4</f>
        <v>0.12711812918960672</v>
      </c>
      <c r="K194" s="90">
        <f>K108/K$5/4</f>
        <v>0.14558685506548241</v>
      </c>
      <c r="L194" s="90">
        <f>L108/L$5/4</f>
        <v>0.17063625526534648</v>
      </c>
      <c r="M194" s="98">
        <f>M108/M$5</f>
        <v>0.17326974648929283</v>
      </c>
      <c r="N194" s="90">
        <f>N108/N$5/4</f>
        <v>0.14047841610162923</v>
      </c>
      <c r="O194" s="90">
        <f>O108/O$5/4</f>
        <v>0.13842485353942541</v>
      </c>
      <c r="P194" s="90">
        <f>P108/P$5/4</f>
        <v>0.15027405098255858</v>
      </c>
      <c r="Q194" s="90">
        <f>Q108/Q$5/4</f>
        <v>0.16491888538982727</v>
      </c>
      <c r="R194" s="98">
        <f>R108/R$5</f>
        <v>0.15016270229173456</v>
      </c>
      <c r="S194" s="90">
        <f>S108/S$5/4</f>
        <v>0.14999134873258932</v>
      </c>
      <c r="T194" s="90">
        <f>T108/T$5/4</f>
        <v>0.14440917107583773</v>
      </c>
      <c r="U194" s="90">
        <f>U108/U$5/4</f>
        <v>0.15380130597014924</v>
      </c>
      <c r="V194" s="90">
        <f>V108/V$5/4</f>
        <v>0.16293118543162322</v>
      </c>
      <c r="W194" s="98">
        <f>W108/W$5</f>
        <v>0.1427037803849398</v>
      </c>
      <c r="X194" s="90">
        <f>X108/X$5/4</f>
        <v>0.17526631158455391</v>
      </c>
      <c r="Y194" s="90">
        <f>Y108/Y$5/4</f>
        <v>0.19983755321532601</v>
      </c>
      <c r="Z194" s="90">
        <f>Z108/Z$5/4</f>
        <v>0.1770186335403727</v>
      </c>
      <c r="AA194" s="90">
        <f>AA108/AA$5/4</f>
        <v>0.214863184079602</v>
      </c>
      <c r="AB194" s="98">
        <f>AB108/AB$5</f>
        <v>0.20145772594752187</v>
      </c>
      <c r="AC194" s="90">
        <f>AC108/AC$5/4</f>
        <v>0.18740609572869713</v>
      </c>
      <c r="AD194" s="90">
        <f>AD108/AD$5/4</f>
        <v>0.16782540512284372</v>
      </c>
      <c r="AE194" s="90">
        <f>AE108/AE$5/4</f>
        <v>0.17605702094647013</v>
      </c>
      <c r="AF194" s="90">
        <f>AF108/AF$5/4</f>
        <v>0.19561964358590669</v>
      </c>
      <c r="AG194" s="98">
        <f>AG108/AG$5</f>
        <v>0.15739068571115855</v>
      </c>
      <c r="AH194" s="90">
        <f>AH108/AH$5/4</f>
        <v>0.21153360282971195</v>
      </c>
      <c r="AI194" s="90">
        <f>AI108/AI$5/4</f>
        <v>0.18732892335766421</v>
      </c>
      <c r="AJ194" s="90">
        <f>AJ108/AJ$5/4</f>
        <v>0.18186190138706085</v>
      </c>
      <c r="AK194" s="90">
        <f>AK108/AK$5/4</f>
        <v>0.19239452518696201</v>
      </c>
      <c r="AL194" s="98">
        <f>AL108/AL$5</f>
        <v>0.16208987161198288</v>
      </c>
      <c r="AM194" s="90">
        <f>AM108/AM$5/4</f>
        <v>0.1563809523809524</v>
      </c>
      <c r="AN194" s="90">
        <f>AN108/AN$5/4</f>
        <v>0.15661219286045433</v>
      </c>
      <c r="AO194" s="90">
        <f>AO108/AO$5/4</f>
        <v>0.15182636589403972</v>
      </c>
      <c r="AP194" s="90">
        <f>AP108/AP$5/4</f>
        <v>0.1517195582273172</v>
      </c>
      <c r="AQ194" s="98">
        <f>AQ108/AQ$5</f>
        <v>0.13028211284513805</v>
      </c>
      <c r="AR194" s="90">
        <f>AR108/AR$5/4</f>
        <v>0.16334802455532821</v>
      </c>
      <c r="AS194" s="90">
        <f>AS108/AS$5/4</f>
        <v>0.15807012460156475</v>
      </c>
      <c r="AT194" s="90">
        <f>AT108/AT$5/4</f>
        <v>0.13589981447124302</v>
      </c>
      <c r="AU194" s="90">
        <f>AU108/AU$5/4</f>
        <v>0.14368731093774875</v>
      </c>
      <c r="AV194" s="98">
        <f>AV108/AV$5</f>
        <v>0.13600572655690765</v>
      </c>
      <c r="AW194" s="90">
        <f>AW108/AW$5/4</f>
        <v>0.13197069943289225</v>
      </c>
      <c r="AX194" s="90">
        <f>AX108/AX$5/4</f>
        <v>0.14724409448818898</v>
      </c>
      <c r="AY194" s="90">
        <f>AY108/AY$5/4</f>
        <v>0.13720824097013953</v>
      </c>
      <c r="AZ194" s="90">
        <f>AZ108/AZ$5/4</f>
        <v>0.15853570915361401</v>
      </c>
      <c r="BA194" s="98">
        <f>BA108/BA$5</f>
        <v>0.1578269732842173</v>
      </c>
      <c r="BB194" s="90">
        <f>BB108/BB$5/4</f>
        <v>0.14586427086427087</v>
      </c>
      <c r="BC194" s="90">
        <f>BC108/BC$5/4</f>
        <v>0.18523085354158103</v>
      </c>
      <c r="BD194" s="90">
        <f>BD108/BD$5/4</f>
        <v>0.18274094089932794</v>
      </c>
      <c r="BE194" s="90">
        <f>BE108/BE$5/4</f>
        <v>0.2097467472118959</v>
      </c>
      <c r="BF194" s="98">
        <f>BF108/BF$5</f>
        <v>0.22254863693325388</v>
      </c>
      <c r="BG194" s="90">
        <f>BG108/BG$5/4</f>
        <v>0.17355832241153343</v>
      </c>
      <c r="BH194" s="130">
        <f>BH108/BH$5/4</f>
        <v>8.797275441652154E-2</v>
      </c>
      <c r="BI194" s="130">
        <f>BI108/BI$5/4</f>
        <v>9.1680181641258504E-2</v>
      </c>
      <c r="BJ194" s="130">
        <f>BJ108/BJ$5/4</f>
        <v>0.11722965481558136</v>
      </c>
      <c r="BK194" s="98">
        <f>BK108/BK$5</f>
        <v>0.10524220305242205</v>
      </c>
      <c r="BL194" s="130">
        <f>BL108/BL$5/4</f>
        <v>8.4564457794397099E-2</v>
      </c>
      <c r="BM194" s="130">
        <f>BM108/BM$5/4</f>
        <v>9.4251182646821266E-2</v>
      </c>
      <c r="BN194" s="130">
        <f>BN108/BN$5/4</f>
        <v>9.3249009448338915E-2</v>
      </c>
      <c r="BO194" s="130">
        <f>BO108/BO$5/4</f>
        <v>9.3636599274235358E-2</v>
      </c>
      <c r="BP194" s="98">
        <f>BP108/BP$5</f>
        <v>8.8265835929387332E-2</v>
      </c>
      <c r="BQ194" s="130">
        <f>BQ108/BQ$5/4</f>
        <v>6.9799123838016883E-2</v>
      </c>
      <c r="BR194" s="130">
        <f>BR108/BR$5/4</f>
        <v>7.0218187215515523E-2</v>
      </c>
      <c r="BS194" s="130">
        <f>BS108/BS$5/4</f>
        <v>8.218724109362055E-2</v>
      </c>
      <c r="BT194" s="130">
        <f>BT108/BT$5/4</f>
        <v>9.5270270270270269E-2</v>
      </c>
      <c r="BU194" s="98">
        <f>BU108/BU$5</f>
        <v>8.4621155288822206E-2</v>
      </c>
      <c r="BV194" s="130">
        <f>BV108/BV$5/4</f>
        <v>6.3200723327305613E-2</v>
      </c>
      <c r="BW194" s="130">
        <f>BW108/BW$5/4</f>
        <v>6.9297193571599899E-2</v>
      </c>
      <c r="BX194" s="130">
        <f>BX108/BX$5/4</f>
        <v>7.7497081874270485E-2</v>
      </c>
      <c r="BY194" s="130">
        <f>BY108/BY$5/4</f>
        <v>8.2592445778356643E-2</v>
      </c>
      <c r="BZ194" s="98">
        <f>BZ108/BZ$5</f>
        <v>7.691496374423204E-2</v>
      </c>
      <c r="CA194" s="94">
        <f>BV194</f>
        <v>6.3200723327305613E-2</v>
      </c>
      <c r="CB194" s="94">
        <f>BW194</f>
        <v>6.9297193571599899E-2</v>
      </c>
      <c r="CC194" s="94">
        <f>BX194</f>
        <v>7.7497081874270485E-2</v>
      </c>
      <c r="CD194" s="94">
        <f>BY194</f>
        <v>8.2592445778356643E-2</v>
      </c>
      <c r="CE194" s="98">
        <f>CE108/CE$5</f>
        <v>7.6358322766766656E-2</v>
      </c>
      <c r="CF194" s="94">
        <f>CA194</f>
        <v>6.3200723327305613E-2</v>
      </c>
      <c r="CG194" s="94">
        <f>CB194</f>
        <v>6.9297193571599899E-2</v>
      </c>
      <c r="CH194" s="94">
        <f>CC194</f>
        <v>7.7497081874270485E-2</v>
      </c>
      <c r="CI194" s="94">
        <f>CD194</f>
        <v>8.2592445778356643E-2</v>
      </c>
      <c r="CJ194" s="98">
        <f>CJ108/CJ$5</f>
        <v>7.6172847568570859E-2</v>
      </c>
      <c r="CK194" s="94">
        <f>CF194</f>
        <v>6.3200723327305613E-2</v>
      </c>
      <c r="CL194" s="94">
        <f>CG194</f>
        <v>6.9297193571599899E-2</v>
      </c>
      <c r="CM194" s="94">
        <f>CH194</f>
        <v>7.7497081874270485E-2</v>
      </c>
      <c r="CN194" s="94">
        <f>CI194</f>
        <v>8.2592445778356643E-2</v>
      </c>
      <c r="CO194" s="98">
        <f>CO108/CO$5</f>
        <v>7.6050039818005996E-2</v>
      </c>
      <c r="CP194" s="94">
        <f>CK194</f>
        <v>6.3200723327305613E-2</v>
      </c>
      <c r="CQ194" s="94">
        <f>CL194</f>
        <v>6.9297193571599899E-2</v>
      </c>
      <c r="CR194" s="94">
        <f>CM194</f>
        <v>7.7497081874270485E-2</v>
      </c>
      <c r="CS194" s="94">
        <f>CN194</f>
        <v>8.2592445778356643E-2</v>
      </c>
      <c r="CT194" s="98">
        <f>CT108/CT$5</f>
        <v>7.5953574634192569E-2</v>
      </c>
      <c r="CU194" s="94">
        <f>CP194</f>
        <v>6.3200723327305613E-2</v>
      </c>
      <c r="CV194" s="94">
        <f>CQ194</f>
        <v>6.9297193571599899E-2</v>
      </c>
      <c r="CW194" s="94">
        <f>CR194</f>
        <v>7.7497081874270485E-2</v>
      </c>
      <c r="CX194" s="94">
        <f>CS194</f>
        <v>8.2592445778356643E-2</v>
      </c>
      <c r="CY194" s="98">
        <f>CY108/CY$5</f>
        <v>7.5866170857205581E-2</v>
      </c>
      <c r="CZ194" s="97"/>
      <c r="DA194" s="420"/>
      <c r="DB194" s="750"/>
      <c r="DC194" s="750"/>
      <c r="DD194" s="420"/>
      <c r="DE194" s="725"/>
      <c r="DF194" s="420"/>
      <c r="DG194" s="750"/>
      <c r="DH194" s="750"/>
      <c r="DI194" s="420"/>
      <c r="DJ194" s="420"/>
      <c r="DK194" s="420"/>
      <c r="DL194" s="420"/>
      <c r="DM194" s="420"/>
      <c r="DN194" s="420"/>
      <c r="DU194" s="420"/>
      <c r="DV194" s="420"/>
      <c r="DW194" s="420"/>
      <c r="DX194" s="420"/>
      <c r="DY194" s="420"/>
      <c r="DZ194" s="420"/>
      <c r="EA194" s="420"/>
    </row>
    <row r="195" spans="1:131" x14ac:dyDescent="0.2">
      <c r="A195" s="243" t="s">
        <v>188</v>
      </c>
      <c r="B195" s="243"/>
      <c r="C195" s="243"/>
      <c r="D195" s="95"/>
      <c r="E195" s="95"/>
      <c r="F195" s="95"/>
      <c r="G195" s="95"/>
      <c r="H195" s="98">
        <f>+H113/H5</f>
        <v>5.2208936217771063E-2</v>
      </c>
      <c r="I195" s="95">
        <f>+I113/I5/4</f>
        <v>4.222801559357494E-2</v>
      </c>
      <c r="J195" s="95">
        <f>+J113/J5/4</f>
        <v>3.6836714914349027E-2</v>
      </c>
      <c r="K195" s="95">
        <f>+K113/K5/4</f>
        <v>3.6831624622021886E-2</v>
      </c>
      <c r="L195" s="95">
        <f>+L113/L5/4</f>
        <v>7.024774473079877E-2</v>
      </c>
      <c r="M195" s="98">
        <f>+M113/M5</f>
        <v>7.1331903656830675E-2</v>
      </c>
      <c r="N195" s="95">
        <f>+N113/N5/4</f>
        <v>6.2596497147833871E-2</v>
      </c>
      <c r="O195" s="95">
        <f>+O113/O5/4</f>
        <v>5.4890940040722876E-2</v>
      </c>
      <c r="P195" s="95">
        <f>+P113/P5/4</f>
        <v>4.5086220503511951E-2</v>
      </c>
      <c r="Q195" s="95">
        <f>+Q113/Q5/4</f>
        <v>5.7328227884340104E-2</v>
      </c>
      <c r="R195" s="98">
        <f>+R113/R5</f>
        <v>5.2198761811665037E-2</v>
      </c>
      <c r="S195" s="95">
        <f>+S113/S5/4</f>
        <v>5.601695648412492E-2</v>
      </c>
      <c r="T195" s="95">
        <f>+T113/T5/4</f>
        <v>4.8077601410934749E-2</v>
      </c>
      <c r="U195" s="95">
        <f>+U113/U5/4</f>
        <v>4.4459621535181237E-2</v>
      </c>
      <c r="V195" s="95">
        <f>+V113/V5/4</f>
        <v>5.2661530379968492E-2</v>
      </c>
      <c r="W195" s="98">
        <f>+W113/W5</f>
        <v>4.6123763515067868E-2</v>
      </c>
      <c r="X195" s="95">
        <f>+X113/X5/4</f>
        <v>8.8160230803373277E-2</v>
      </c>
      <c r="Y195" s="95">
        <f>+Y113/Y5/4</f>
        <v>9.0970199417432215E-2</v>
      </c>
      <c r="Z195" s="95">
        <f>+Z113/Z5/4</f>
        <v>8.0585495067592258E-2</v>
      </c>
      <c r="AA195" s="95">
        <f>+AA113/AA5/4</f>
        <v>0.10857643600180915</v>
      </c>
      <c r="AB195" s="98">
        <f>+AB113/AB5</f>
        <v>0.10180227935329977</v>
      </c>
      <c r="AC195" s="95">
        <f>+AC113/AC5/4</f>
        <v>0.10034342133505043</v>
      </c>
      <c r="AD195" s="95">
        <f>+AD113/AD5/4</f>
        <v>9.6366962885520116E-2</v>
      </c>
      <c r="AE195" s="95">
        <f>+AE113/AE5/4</f>
        <v>8.7955779674166013E-2</v>
      </c>
      <c r="AF195" s="95">
        <f>+AF113/AF5/4</f>
        <v>9.7639776901101899E-2</v>
      </c>
      <c r="AG195" s="98">
        <f>+AG113/AG5</f>
        <v>7.8558528977179451E-2</v>
      </c>
      <c r="AH195" s="95">
        <f>+AH113/AH5/4</f>
        <v>8.9849671551288521E-2</v>
      </c>
      <c r="AI195" s="95">
        <f>+AI113/AI5/4</f>
        <v>7.7355155109489052E-2</v>
      </c>
      <c r="AJ195" s="95">
        <f>+AJ113/AJ5/4</f>
        <v>7.3124430495089598E-2</v>
      </c>
      <c r="AK195" s="95">
        <f>+AK113/AK5/4</f>
        <v>0.11715112177225907</v>
      </c>
      <c r="AL195" s="98">
        <f>+AL113/AL5</f>
        <v>9.869828815977176E-2</v>
      </c>
      <c r="AM195" s="95">
        <f>+AM113/AM5/4</f>
        <v>0.10031746031746032</v>
      </c>
      <c r="AN195" s="95">
        <f>+AN113/AN5/4</f>
        <v>9.4401947148817805E-2</v>
      </c>
      <c r="AO195" s="95">
        <f>+AO113/AO5/4</f>
        <v>8.410078642384107E-2</v>
      </c>
      <c r="AP195" s="95">
        <f>+AP113/AP5/4</f>
        <v>8.1434363204249974E-2</v>
      </c>
      <c r="AQ195" s="98">
        <f>+AQ113/AQ5</f>
        <v>6.9927971188475394E-2</v>
      </c>
      <c r="AR195" s="95">
        <f>+AR113/AR5/4</f>
        <v>0.10121202581457579</v>
      </c>
      <c r="AS195" s="95">
        <f>+AS113/AS5/4</f>
        <v>7.8672848449724705E-2</v>
      </c>
      <c r="AT195" s="95">
        <f>+AT113/AT5/4</f>
        <v>8.4486941629798765E-2</v>
      </c>
      <c r="AU195" s="95">
        <f>+AU113/AU5/4</f>
        <v>8.1276866740964807E-2</v>
      </c>
      <c r="AV195" s="98">
        <f>+AV113/AV5</f>
        <v>7.6931771088422557E-2</v>
      </c>
      <c r="AW195" s="95">
        <f>+AW113/AW5/4</f>
        <v>8.9792060491493395E-2</v>
      </c>
      <c r="AX195" s="95">
        <f>+AX113/AX5/4</f>
        <v>7.8453829634931999E-2</v>
      </c>
      <c r="AY195" s="95">
        <f>+AY113/AY5/4</f>
        <v>6.9207197809362367E-2</v>
      </c>
      <c r="AZ195" s="95">
        <f>+AZ113/AZ5/4</f>
        <v>7.9932461560569046E-2</v>
      </c>
      <c r="BA195" s="98">
        <f>+BA113/BA5</f>
        <v>7.9575122492042488E-2</v>
      </c>
      <c r="BB195" s="95">
        <f>+BB113/BB5/4</f>
        <v>7.75913275913276E-2</v>
      </c>
      <c r="BC195" s="95">
        <f>+BC113/BC5/4</f>
        <v>3.2932593505959722E-2</v>
      </c>
      <c r="BD195" s="95">
        <f>+BD113/BD5/4</f>
        <v>3.1958012887133652E-2</v>
      </c>
      <c r="BE195" s="95">
        <f>+BE113/BE5/4</f>
        <v>3.0824039653035932E-2</v>
      </c>
      <c r="BF195" s="98">
        <f>+BF113/BF5</f>
        <v>3.2705384473159807E-2</v>
      </c>
      <c r="BG195" s="95">
        <f>+BG113/BG5/4</f>
        <v>2.6081258191349932E-2</v>
      </c>
      <c r="BH195" s="95">
        <f>+BH113/BH5/4</f>
        <v>2.4182010450360787E-2</v>
      </c>
      <c r="BI195" s="95">
        <f>+BI113/BI5/4</f>
        <v>2.9857281868310086E-2</v>
      </c>
      <c r="BJ195" s="95">
        <f>+BJ113/BJ5/4</f>
        <v>3.2541207775888828E-2</v>
      </c>
      <c r="BK195" s="98">
        <f>+BK113/BK5</f>
        <v>2.9213669542136694E-2</v>
      </c>
      <c r="BL195" s="95">
        <f>+BL113/BL5/4</f>
        <v>2.7110280144669898E-2</v>
      </c>
      <c r="BM195" s="95">
        <f>+BM113/BM5/4</f>
        <v>2.3595246336679355E-2</v>
      </c>
      <c r="BN195" s="95">
        <f>+BN113/BN5/4</f>
        <v>3.687900030478513E-2</v>
      </c>
      <c r="BO195" s="95">
        <f>+BO113/BO5/4</f>
        <v>2.6325168481078277E-2</v>
      </c>
      <c r="BP195" s="98">
        <f>+BP113/BP5</f>
        <v>2.4815222038971352E-2</v>
      </c>
      <c r="BQ195" s="95">
        <f>+BQ113/BQ5/4</f>
        <v>2.1356448338497706E-2</v>
      </c>
      <c r="BR195" s="95">
        <f>+BR113/BR5/4</f>
        <v>1.9542845834157926E-2</v>
      </c>
      <c r="BS195" s="95">
        <f>+BS113/BS5/4</f>
        <v>2.7520022093344382E-2</v>
      </c>
      <c r="BT195" s="95">
        <f>+BT113/BT5/4</f>
        <v>2.5445331695331693E-2</v>
      </c>
      <c r="BU195" s="98">
        <f>+BU113/BU5</f>
        <v>2.2601104821659959E-2</v>
      </c>
      <c r="BV195" s="95">
        <f>+BV113/BV5/4</f>
        <v>2.1506070782743476E-2</v>
      </c>
      <c r="BW195" s="95">
        <f>+BW113/BW5/4</f>
        <v>2.1479971216118974E-2</v>
      </c>
      <c r="BX195" s="95">
        <f>+BX113/BX5/4</f>
        <v>2.9778778278027905E-2</v>
      </c>
      <c r="BY195" s="95">
        <f>+BY113/BY5/4</f>
        <v>5.5977122147346958E-2</v>
      </c>
      <c r="BZ195" s="98">
        <f>+BZ113/BZ5</f>
        <v>5.212920237310481E-2</v>
      </c>
      <c r="CA195" s="95">
        <f>+CA113/CA5/4</f>
        <v>4.7739566301936424E-2</v>
      </c>
      <c r="CB195" s="95">
        <f>+CB113/CB5/4</f>
        <v>4.3792179228208064E-2</v>
      </c>
      <c r="CC195" s="95">
        <f>+CC113/CC5/4</f>
        <v>5.0059836355276131E-2</v>
      </c>
      <c r="CD195" s="95">
        <f>+CD113/CD5/4</f>
        <v>5.2174805037466493E-2</v>
      </c>
      <c r="CE195" s="98">
        <f>+CE113/CE5</f>
        <v>4.8236622197087076E-2</v>
      </c>
      <c r="CF195" s="95">
        <f>+CF113/CF5/4</f>
        <v>4.4759378975095111E-2</v>
      </c>
      <c r="CG195" s="95">
        <f>+CG113/CG5/4</f>
        <v>4.10652511054755E-2</v>
      </c>
      <c r="CH195" s="95">
        <f>+CH113/CH5/4</f>
        <v>4.7125691985939432E-2</v>
      </c>
      <c r="CI195" s="95">
        <f>+CI113/CI5/4</f>
        <v>4.9137952943552742E-2</v>
      </c>
      <c r="CJ195" s="98">
        <f>+CJ113/CJ5</f>
        <v>4.5318645841357301E-2</v>
      </c>
      <c r="CK195" s="95">
        <f>+CK113/CK5/4</f>
        <v>4.243726605245586E-2</v>
      </c>
      <c r="CL195" s="95">
        <f>+CL113/CL5/4</f>
        <v>3.8939069635947315E-2</v>
      </c>
      <c r="CM195" s="95">
        <f>+CM113/CM5/4</f>
        <v>4.480104859165239E-2</v>
      </c>
      <c r="CN195" s="95">
        <f>+CN113/CN5/4</f>
        <v>4.6727481933635337E-2</v>
      </c>
      <c r="CO195" s="98">
        <f>+CO113/CO5</f>
        <v>4.3026051936814684E-2</v>
      </c>
      <c r="CP195" s="95">
        <f>+CP113/CP5/4</f>
        <v>4.0426430817831073E-2</v>
      </c>
      <c r="CQ195" s="95">
        <f>+CQ113/CQ5/4</f>
        <v>3.7097187720045353E-2</v>
      </c>
      <c r="CR195" s="95">
        <f>+CR113/CR5/4</f>
        <v>4.2768390096023706E-2</v>
      </c>
      <c r="CS195" s="95">
        <f>+CS113/CS5/4</f>
        <v>4.4617522610196567E-2</v>
      </c>
      <c r="CT195" s="98">
        <f>+CT113/CT5</f>
        <v>4.1031117333183396E-2</v>
      </c>
      <c r="CU195" s="95">
        <f>+CU113/CU5/4</f>
        <v>3.8662617744650012E-2</v>
      </c>
      <c r="CV195" s="95">
        <f>+CV113/CV5/4</f>
        <v>3.5481394252216497E-2</v>
      </c>
      <c r="CW195" s="95">
        <f>+CW113/CW5/4</f>
        <v>4.0980697770989623E-2</v>
      </c>
      <c r="CX195" s="95">
        <f>+CX113/CX5/4</f>
        <v>4.2761330254534761E-2</v>
      </c>
      <c r="CY195" s="98">
        <f>+CY113/CY5</f>
        <v>3.9278875405601023E-2</v>
      </c>
      <c r="CZ195" s="97"/>
      <c r="DA195" s="751"/>
      <c r="DB195" s="750"/>
      <c r="DC195" s="750"/>
      <c r="DD195" s="751"/>
      <c r="DE195" s="752"/>
      <c r="DF195" s="751"/>
      <c r="DG195" s="750"/>
      <c r="DH195" s="750"/>
      <c r="DI195" s="751"/>
      <c r="DJ195" s="751"/>
      <c r="DK195" s="751"/>
      <c r="DL195" s="751"/>
      <c r="DM195" s="751"/>
      <c r="DN195" s="751"/>
      <c r="DU195" s="749"/>
      <c r="DV195" s="749"/>
      <c r="DW195" s="751"/>
      <c r="DX195" s="751"/>
      <c r="DY195" s="751"/>
      <c r="DZ195" s="751"/>
      <c r="EA195" s="751"/>
    </row>
    <row r="196" spans="1:131" x14ac:dyDescent="0.2">
      <c r="A196" s="243" t="s">
        <v>159</v>
      </c>
      <c r="B196" s="243"/>
      <c r="C196" s="243"/>
      <c r="D196" s="254"/>
      <c r="E196" s="254"/>
      <c r="F196" s="254"/>
      <c r="G196" s="254"/>
      <c r="H196" s="255">
        <f>D196+E196+F196+G196</f>
        <v>0</v>
      </c>
      <c r="I196" s="256">
        <f>-I160/I78</f>
        <v>0</v>
      </c>
      <c r="J196" s="256">
        <f>-J160/J78</f>
        <v>0</v>
      </c>
      <c r="K196" s="256">
        <f>-K160/K78</f>
        <v>0</v>
      </c>
      <c r="L196" s="256">
        <f>-L160/L78</f>
        <v>0</v>
      </c>
      <c r="M196" s="255">
        <f>I196+J196+K196+L196</f>
        <v>0</v>
      </c>
      <c r="N196" s="256">
        <f>-N160/N78</f>
        <v>0</v>
      </c>
      <c r="O196" s="256">
        <f>-O160/O78</f>
        <v>0</v>
      </c>
      <c r="P196" s="256">
        <f>-P160/P78</f>
        <v>0</v>
      </c>
      <c r="Q196" s="256">
        <f>-Q160/Q78</f>
        <v>0</v>
      </c>
      <c r="R196" s="255">
        <f>N196+O196+P196+Q196</f>
        <v>0</v>
      </c>
      <c r="S196" s="256">
        <f>-S160/S78</f>
        <v>0</v>
      </c>
      <c r="T196" s="256">
        <f>-T160/T78</f>
        <v>0</v>
      </c>
      <c r="U196" s="256">
        <f>-U160/U78</f>
        <v>0</v>
      </c>
      <c r="V196" s="256">
        <f>-V160/V78</f>
        <v>0</v>
      </c>
      <c r="W196" s="255">
        <f>S196+T196+U196+V196</f>
        <v>0</v>
      </c>
      <c r="X196" s="256">
        <f>-X160/X78</f>
        <v>0</v>
      </c>
      <c r="Y196" s="256">
        <f>-Y160/Y78</f>
        <v>0</v>
      </c>
      <c r="Z196" s="256">
        <f>-Z160/Z78</f>
        <v>0</v>
      </c>
      <c r="AA196" s="256">
        <f>-AA160/AA78</f>
        <v>0</v>
      </c>
      <c r="AB196" s="255">
        <f>X196+Y196+Z196+AA196</f>
        <v>0</v>
      </c>
      <c r="AC196" s="256">
        <f>-AC160/AC78</f>
        <v>0</v>
      </c>
      <c r="AD196" s="256">
        <f>-AD160/AD78</f>
        <v>0</v>
      </c>
      <c r="AE196" s="256">
        <f>-AE160/AE78</f>
        <v>0</v>
      </c>
      <c r="AF196" s="256">
        <f>-AF160/AF78</f>
        <v>0</v>
      </c>
      <c r="AG196" s="255">
        <f>AC196+AD196+AE196+AF196</f>
        <v>0</v>
      </c>
      <c r="AH196" s="256">
        <f>-AH160/AH78</f>
        <v>0</v>
      </c>
      <c r="AI196" s="256">
        <f>-AI160/AI78</f>
        <v>0</v>
      </c>
      <c r="AJ196" s="256">
        <f>-AJ160/AJ78</f>
        <v>0</v>
      </c>
      <c r="AK196" s="256">
        <f ca="1">-AK160/AK78</f>
        <v>0</v>
      </c>
      <c r="AL196" s="255">
        <f ca="1">AH196+AI196+AJ196+AK196</f>
        <v>0</v>
      </c>
      <c r="AM196" s="256">
        <f>-AM160/AM78</f>
        <v>0</v>
      </c>
      <c r="AN196" s="256">
        <f>-AN160/AN78</f>
        <v>0</v>
      </c>
      <c r="AO196" s="256">
        <f>-AO160/AO78</f>
        <v>0</v>
      </c>
      <c r="AP196" s="256">
        <f ca="1">-AP160/AP78</f>
        <v>0</v>
      </c>
      <c r="AQ196" s="255">
        <f ca="1">AM196+AN196+AO196+AP196</f>
        <v>0</v>
      </c>
      <c r="AR196" s="256">
        <f>-AR160/AR78</f>
        <v>0</v>
      </c>
      <c r="AS196" s="256">
        <f>-AS160/AS78</f>
        <v>0</v>
      </c>
      <c r="AT196" s="256">
        <f>-AT160/AT78</f>
        <v>0</v>
      </c>
      <c r="AU196" s="256">
        <f>-AU160/AU78</f>
        <v>0</v>
      </c>
      <c r="AV196" s="255">
        <f>AR196+AS196+AT196+AU196</f>
        <v>0</v>
      </c>
      <c r="AW196" s="256">
        <f ca="1">-AW160/AW78</f>
        <v>0</v>
      </c>
      <c r="AX196" s="256">
        <f>-AX160/AX78</f>
        <v>0</v>
      </c>
      <c r="AY196" s="256">
        <f>-AY160/AY78</f>
        <v>0</v>
      </c>
      <c r="AZ196" s="256">
        <f ca="1">-AZ160/AZ78</f>
        <v>0</v>
      </c>
      <c r="BA196" s="255">
        <f ca="1">AW196+AX196+AY196+AZ196</f>
        <v>0</v>
      </c>
      <c r="BB196" s="256">
        <f>-BB160/BB78</f>
        <v>0</v>
      </c>
      <c r="BC196" s="256">
        <f>-BC160/BC78</f>
        <v>0</v>
      </c>
      <c r="BD196" s="256">
        <f>-BD160/BD78</f>
        <v>0</v>
      </c>
      <c r="BE196" s="256">
        <f ca="1">-BE160/BE78</f>
        <v>0</v>
      </c>
      <c r="BF196" s="255">
        <f ca="1">BB196+BC196+BD196+BE196</f>
        <v>0</v>
      </c>
      <c r="BG196" s="256">
        <f>-BG160/BG78</f>
        <v>0</v>
      </c>
      <c r="BH196" s="256">
        <f>-BH160/BH78</f>
        <v>0</v>
      </c>
      <c r="BI196" s="256">
        <f ca="1">-BI160/BI78</f>
        <v>0</v>
      </c>
      <c r="BJ196" s="256">
        <f ca="1">-BJ160/BJ78</f>
        <v>0</v>
      </c>
      <c r="BK196" s="255">
        <f ca="1">BG196+BH196+BI196+BJ196</f>
        <v>0</v>
      </c>
      <c r="BL196" s="256">
        <f>-BL160/BL78</f>
        <v>0.29479184639274358</v>
      </c>
      <c r="BM196" s="256">
        <f>-BM160/BM78</f>
        <v>0.29540643001329325</v>
      </c>
      <c r="BN196" s="256">
        <f>-BN160/BN78</f>
        <v>0.2969190968955786</v>
      </c>
      <c r="BO196" s="256">
        <f>-BO160/BO78</f>
        <v>0.29825869555682266</v>
      </c>
      <c r="BP196" s="255">
        <f>BL196+BM196+BN196+BO196</f>
        <v>1.185376068858438</v>
      </c>
      <c r="BQ196" s="256">
        <f>-BQ160/BQ78</f>
        <v>0.38613706580335572</v>
      </c>
      <c r="BR196" s="256">
        <f>-BR160/BR78</f>
        <v>0.38656992855506978</v>
      </c>
      <c r="BS196" s="256">
        <f>-BS160/BS78</f>
        <v>0.38694512373458612</v>
      </c>
      <c r="BT196" s="256">
        <f>-BT160/BT78</f>
        <v>0.38425360738087139</v>
      </c>
      <c r="BU196" s="255">
        <f>BQ196+BR196+BS196+BT196</f>
        <v>1.5439057254738831</v>
      </c>
      <c r="BV196" s="256">
        <f>-BV160/BV78</f>
        <v>0.4999253842710043</v>
      </c>
      <c r="BW196" s="256">
        <f>-BW160/BW78</f>
        <v>0.49914078253354921</v>
      </c>
      <c r="BX196" s="256">
        <f>-BX160/BX78</f>
        <v>0.49757179001575741</v>
      </c>
      <c r="BY196" s="256">
        <f>-BY160/BY78</f>
        <v>0.49625552648199944</v>
      </c>
      <c r="BZ196" s="255">
        <f>-BZ160/BZ78</f>
        <v>1.9929095059193298</v>
      </c>
      <c r="CA196" s="257">
        <v>0.73</v>
      </c>
      <c r="CB196" s="257">
        <f>CA196</f>
        <v>0.73</v>
      </c>
      <c r="CC196" s="257">
        <f>CB196</f>
        <v>0.73</v>
      </c>
      <c r="CD196" s="257">
        <f>CC196</f>
        <v>0.73</v>
      </c>
      <c r="CE196" s="255">
        <f>+SUM(CA196:CD196)</f>
        <v>2.92</v>
      </c>
      <c r="CF196" s="257">
        <f ca="1">+CJ196/4</f>
        <v>0.80475879745163847</v>
      </c>
      <c r="CG196" s="257">
        <f ca="1">CF196</f>
        <v>0.80475879745163847</v>
      </c>
      <c r="CH196" s="257">
        <f ca="1">CG196</f>
        <v>0.80475879745163847</v>
      </c>
      <c r="CI196" s="257">
        <f ca="1">CH196</f>
        <v>0.80475879745163847</v>
      </c>
      <c r="CJ196" s="255">
        <f ca="1">+CJ197*CJ60</f>
        <v>3.2190351898065539</v>
      </c>
      <c r="CK196" s="257">
        <f ca="1">+CO196/4</f>
        <v>0.89151936008265387</v>
      </c>
      <c r="CL196" s="257">
        <f ca="1">CK196</f>
        <v>0.89151936008265387</v>
      </c>
      <c r="CM196" s="257">
        <f ca="1">CL196</f>
        <v>0.89151936008265387</v>
      </c>
      <c r="CN196" s="257">
        <f ca="1">CM196</f>
        <v>0.89151936008265387</v>
      </c>
      <c r="CO196" s="255">
        <f ca="1">+CO197*CO60</f>
        <v>3.5660774403306155</v>
      </c>
      <c r="CP196" s="257">
        <f ca="1">+CT196/4</f>
        <v>0.9837821573511798</v>
      </c>
      <c r="CQ196" s="257">
        <f ca="1">CP196</f>
        <v>0.9837821573511798</v>
      </c>
      <c r="CR196" s="257">
        <f ca="1">CQ196</f>
        <v>0.9837821573511798</v>
      </c>
      <c r="CS196" s="257">
        <f ca="1">CR196</f>
        <v>0.9837821573511798</v>
      </c>
      <c r="CT196" s="255">
        <f ca="1">+CT197*CT60</f>
        <v>3.9351286294047192</v>
      </c>
      <c r="CU196" s="257">
        <f ca="1">+CY196/4</f>
        <v>1.1135837142222496</v>
      </c>
      <c r="CV196" s="257">
        <f ca="1">CU196</f>
        <v>1.1135837142222496</v>
      </c>
      <c r="CW196" s="257">
        <f ca="1">CV196</f>
        <v>1.1135837142222496</v>
      </c>
      <c r="CX196" s="257">
        <f ca="1">CW196</f>
        <v>1.1135837142222496</v>
      </c>
      <c r="CY196" s="255">
        <f ca="1">+CY197*CY60</f>
        <v>4.4543348568889982</v>
      </c>
      <c r="CZ196" s="258"/>
      <c r="DA196" s="751"/>
      <c r="DB196" s="757"/>
      <c r="DC196" s="757"/>
      <c r="DD196" s="751"/>
      <c r="DE196" s="752"/>
      <c r="DF196" s="751"/>
      <c r="DG196" s="757"/>
      <c r="DH196" s="757"/>
      <c r="DI196" s="751"/>
      <c r="DJ196" s="751"/>
      <c r="DK196" s="751"/>
      <c r="DL196" s="751"/>
      <c r="DM196" s="751"/>
      <c r="DN196" s="751"/>
      <c r="DU196" s="749"/>
      <c r="DV196" s="749"/>
      <c r="DW196" s="751"/>
      <c r="DX196" s="751"/>
      <c r="DY196" s="751"/>
      <c r="DZ196" s="751"/>
      <c r="EA196" s="751"/>
    </row>
    <row r="197" spans="1:131" x14ac:dyDescent="0.2">
      <c r="A197" s="243" t="s">
        <v>276</v>
      </c>
      <c r="B197" s="243"/>
      <c r="C197" s="243"/>
      <c r="D197" s="254"/>
      <c r="E197" s="254"/>
      <c r="F197" s="254"/>
      <c r="G197" s="254"/>
      <c r="H197" s="255"/>
      <c r="I197" s="256"/>
      <c r="J197" s="256"/>
      <c r="K197" s="256"/>
      <c r="L197" s="256"/>
      <c r="M197" s="255"/>
      <c r="N197" s="256"/>
      <c r="O197" s="256"/>
      <c r="P197" s="256"/>
      <c r="Q197" s="256"/>
      <c r="R197" s="255"/>
      <c r="S197" s="256"/>
      <c r="T197" s="256"/>
      <c r="U197" s="256"/>
      <c r="V197" s="256"/>
      <c r="W197" s="255"/>
      <c r="X197" s="256"/>
      <c r="Y197" s="256"/>
      <c r="Z197" s="256"/>
      <c r="AA197" s="256"/>
      <c r="AB197" s="255"/>
      <c r="AC197" s="256"/>
      <c r="AD197" s="256"/>
      <c r="AE197" s="256"/>
      <c r="AF197" s="256"/>
      <c r="AG197" s="255"/>
      <c r="AH197" s="256"/>
      <c r="AI197" s="256"/>
      <c r="AJ197" s="256"/>
      <c r="AK197" s="256"/>
      <c r="AL197" s="255"/>
      <c r="AM197" s="256"/>
      <c r="AN197" s="256"/>
      <c r="AO197" s="256"/>
      <c r="AP197" s="256"/>
      <c r="AQ197" s="255"/>
      <c r="AR197" s="256"/>
      <c r="AS197" s="256"/>
      <c r="AT197" s="256"/>
      <c r="AU197" s="256"/>
      <c r="AV197" s="255"/>
      <c r="AW197" s="256"/>
      <c r="AX197" s="256"/>
      <c r="AY197" s="256"/>
      <c r="AZ197" s="256"/>
      <c r="BA197" s="255"/>
      <c r="BB197" s="256"/>
      <c r="BC197" s="256"/>
      <c r="BD197" s="256"/>
      <c r="BE197" s="256"/>
      <c r="BF197" s="255"/>
      <c r="BG197" s="256"/>
      <c r="BH197" s="256"/>
      <c r="BI197" s="257"/>
      <c r="BJ197" s="257"/>
      <c r="BK197" s="255"/>
      <c r="BL197" s="257"/>
      <c r="BM197" s="257"/>
      <c r="BN197" s="257"/>
      <c r="BO197" s="257"/>
      <c r="BP197" s="381">
        <f>BP196/BP60</f>
        <v>0.21834166536126973</v>
      </c>
      <c r="BQ197" s="257"/>
      <c r="BR197" s="123"/>
      <c r="BS197" s="257"/>
      <c r="BT197" s="257"/>
      <c r="BU197" s="381">
        <f>BU196/BU60</f>
        <v>0.22822453441261242</v>
      </c>
      <c r="BV197" s="598"/>
      <c r="BW197" s="598"/>
      <c r="BX197" s="257"/>
      <c r="BY197" s="257"/>
      <c r="BZ197" s="381">
        <f>BZ196/BZ60</f>
        <v>0.22868084133516234</v>
      </c>
      <c r="CA197" s="238">
        <f>+CA196/BV196-1</f>
        <v>0.46021791044776128</v>
      </c>
      <c r="CB197" s="238">
        <f>+CB196/BW196-1</f>
        <v>0.46251323383084575</v>
      </c>
      <c r="CC197" s="238">
        <f>+CC196/BX196-1</f>
        <v>0.46712497502497463</v>
      </c>
      <c r="CD197" s="238">
        <f>+CD196/BY196-1</f>
        <v>0.47101636363636357</v>
      </c>
      <c r="CE197" s="381">
        <f ca="1">CE196/CE60</f>
        <v>0.29647194148676626</v>
      </c>
      <c r="CF197" s="238">
        <f ca="1">+CF196/CA196-1</f>
        <v>0.10240931157758704</v>
      </c>
      <c r="CG197" s="238">
        <f ca="1">+CG196/CB196-1</f>
        <v>0.10240931157758704</v>
      </c>
      <c r="CH197" s="238">
        <f ca="1">+CH196/CC196-1</f>
        <v>0.10240931157758704</v>
      </c>
      <c r="CI197" s="238">
        <f ca="1">+CI196/CD196-1</f>
        <v>0.10240931157758704</v>
      </c>
      <c r="CJ197" s="381">
        <v>0.28999999999999998</v>
      </c>
      <c r="CK197" s="257"/>
      <c r="CL197" s="257"/>
      <c r="CM197" s="257"/>
      <c r="CN197" s="257"/>
      <c r="CO197" s="381">
        <v>0.28999999999999998</v>
      </c>
      <c r="CP197" s="257"/>
      <c r="CQ197" s="257"/>
      <c r="CR197" s="257"/>
      <c r="CS197" s="257"/>
      <c r="CT197" s="381">
        <v>0.28999999999999998</v>
      </c>
      <c r="CU197" s="257"/>
      <c r="CV197" s="257"/>
      <c r="CW197" s="257"/>
      <c r="CX197" s="257"/>
      <c r="CY197" s="381">
        <v>0.3</v>
      </c>
      <c r="CZ197" s="258"/>
      <c r="DA197" s="850"/>
      <c r="DB197" s="757"/>
      <c r="DC197" s="757"/>
      <c r="DD197" s="751"/>
      <c r="DE197" s="752"/>
      <c r="DF197" s="751"/>
      <c r="DG197" s="757"/>
      <c r="DH197" s="757"/>
      <c r="DI197" s="751"/>
      <c r="DJ197" s="751"/>
      <c r="DK197" s="751"/>
      <c r="DL197" s="751"/>
      <c r="DM197" s="751"/>
      <c r="DN197" s="751"/>
      <c r="DU197" s="749"/>
      <c r="DV197" s="749"/>
      <c r="DW197" s="751"/>
      <c r="DX197" s="751"/>
      <c r="DY197" s="751"/>
      <c r="DZ197" s="751"/>
      <c r="EA197" s="751"/>
    </row>
    <row r="198" spans="1:131" ht="15.75" customHeight="1" x14ac:dyDescent="0.2">
      <c r="A198" s="250"/>
      <c r="B198" s="250"/>
      <c r="C198" s="250"/>
      <c r="D198" s="248"/>
      <c r="E198" s="259"/>
      <c r="F198" s="259"/>
      <c r="G198" s="259"/>
      <c r="H198" s="199"/>
      <c r="I198" s="248"/>
      <c r="J198" s="259"/>
      <c r="K198" s="259"/>
      <c r="L198" s="259"/>
      <c r="M198" s="199"/>
      <c r="N198" s="259"/>
      <c r="O198" s="259"/>
      <c r="P198" s="259"/>
      <c r="Q198" s="259"/>
      <c r="R198" s="199"/>
      <c r="S198" s="259"/>
      <c r="T198" s="259"/>
      <c r="U198" s="259"/>
      <c r="V198" s="259"/>
      <c r="W198" s="199"/>
      <c r="X198" s="259"/>
      <c r="Y198" s="259"/>
      <c r="Z198" s="259"/>
      <c r="AA198" s="259"/>
      <c r="AB198" s="199"/>
      <c r="AC198" s="259"/>
      <c r="AD198" s="259"/>
      <c r="AE198" s="259"/>
      <c r="AF198" s="259"/>
      <c r="AG198" s="199"/>
      <c r="AH198" s="259"/>
      <c r="AI198" s="259"/>
      <c r="AJ198" s="259"/>
      <c r="AK198" s="259"/>
      <c r="AL198" s="199"/>
      <c r="AM198" s="259"/>
      <c r="AN198" s="259"/>
      <c r="AO198" s="259"/>
      <c r="AP198" s="259"/>
      <c r="AQ198" s="199"/>
      <c r="AR198" s="259"/>
      <c r="AS198" s="259"/>
      <c r="AT198" s="259"/>
      <c r="AU198" s="259"/>
      <c r="AV198" s="199"/>
      <c r="AW198" s="259"/>
      <c r="AX198" s="259"/>
      <c r="AY198" s="259"/>
      <c r="AZ198" s="259"/>
      <c r="BA198" s="199"/>
      <c r="BB198" s="259"/>
      <c r="BC198" s="259"/>
      <c r="BD198" s="259"/>
      <c r="BE198" s="259"/>
      <c r="BF198" s="199"/>
      <c r="BG198" s="259"/>
      <c r="BH198" s="259"/>
      <c r="BI198" s="259"/>
      <c r="BJ198" s="259"/>
      <c r="BK198" s="199"/>
      <c r="BM198" s="259"/>
      <c r="BO198" s="259"/>
      <c r="BP198" s="199"/>
      <c r="BQ198" s="259"/>
      <c r="BR198" s="259"/>
      <c r="BS198" s="259"/>
      <c r="BT198" s="259"/>
      <c r="BU198" s="199"/>
      <c r="BV198" s="597"/>
      <c r="BW198" s="259"/>
      <c r="BX198" s="259"/>
      <c r="BY198" s="259"/>
      <c r="BZ198" s="199"/>
      <c r="CA198" s="259"/>
      <c r="CB198" s="259"/>
      <c r="CC198" s="382"/>
      <c r="CD198" s="382"/>
      <c r="CE198" s="199"/>
      <c r="CF198" s="259"/>
      <c r="CG198" s="259"/>
      <c r="CH198" s="259"/>
      <c r="CI198" s="259"/>
      <c r="CJ198" s="199"/>
      <c r="CK198" s="259"/>
      <c r="CL198" s="259"/>
      <c r="CM198" s="259"/>
      <c r="CN198" s="259"/>
      <c r="CO198" s="199"/>
      <c r="CP198" s="259"/>
      <c r="CQ198" s="259"/>
      <c r="CR198" s="259"/>
      <c r="CS198" s="259"/>
      <c r="CT198" s="199"/>
      <c r="CU198" s="259"/>
      <c r="CV198" s="259"/>
      <c r="CW198" s="259"/>
      <c r="CX198" s="259"/>
      <c r="CY198" s="199"/>
      <c r="CZ198" s="253"/>
      <c r="DB198" s="753"/>
      <c r="DC198" s="753"/>
      <c r="DD198" s="420"/>
      <c r="DE198" s="725"/>
      <c r="DF198" s="420"/>
      <c r="DG198" s="753"/>
      <c r="DH198" s="753"/>
      <c r="DI198" s="420"/>
      <c r="DJ198" s="420"/>
      <c r="DK198" s="420"/>
      <c r="DL198" s="420"/>
      <c r="DM198" s="420"/>
      <c r="DN198" s="420"/>
      <c r="DU198" s="420"/>
      <c r="DV198" s="420"/>
      <c r="DW198" s="420"/>
      <c r="DX198" s="420"/>
      <c r="DY198" s="420"/>
      <c r="DZ198" s="420"/>
      <c r="EA198" s="420"/>
    </row>
    <row r="199" spans="1:131" ht="15.75" customHeight="1" x14ac:dyDescent="0.2">
      <c r="A199" s="416" t="s">
        <v>189</v>
      </c>
      <c r="B199" s="416"/>
      <c r="C199" s="417"/>
      <c r="D199" s="54"/>
      <c r="E199" s="245"/>
      <c r="F199" s="245"/>
      <c r="G199" s="245"/>
      <c r="H199" s="260"/>
      <c r="I199" s="54"/>
      <c r="J199" s="259"/>
      <c r="K199" s="259"/>
      <c r="L199" s="259"/>
      <c r="M199" s="260"/>
      <c r="N199" s="259"/>
      <c r="O199" s="259"/>
      <c r="P199" s="259"/>
      <c r="Q199" s="259"/>
      <c r="R199" s="260"/>
      <c r="S199" s="259"/>
      <c r="T199" s="259"/>
      <c r="U199" s="259"/>
      <c r="V199" s="259"/>
      <c r="W199" s="260"/>
      <c r="X199" s="259"/>
      <c r="Y199" s="259"/>
      <c r="Z199" s="259"/>
      <c r="AA199" s="259"/>
      <c r="AB199" s="260"/>
      <c r="AC199" s="259"/>
      <c r="AD199" s="259"/>
      <c r="AE199" s="259"/>
      <c r="AF199" s="259"/>
      <c r="AG199" s="260"/>
      <c r="AH199" s="259"/>
      <c r="AI199" s="259"/>
      <c r="AJ199" s="259"/>
      <c r="AK199" s="259"/>
      <c r="AL199" s="260"/>
      <c r="AM199" s="259"/>
      <c r="AN199" s="259"/>
      <c r="AO199" s="259"/>
      <c r="AP199" s="259"/>
      <c r="AQ199" s="260"/>
      <c r="AR199" s="259"/>
      <c r="AS199" s="259"/>
      <c r="AT199" s="259"/>
      <c r="AU199" s="259"/>
      <c r="AV199" s="260"/>
      <c r="AW199" s="259"/>
      <c r="AX199" s="259"/>
      <c r="AY199" s="259"/>
      <c r="AZ199" s="259"/>
      <c r="BA199" s="247"/>
      <c r="BB199" s="259"/>
      <c r="BC199" s="259"/>
      <c r="BD199" s="259"/>
      <c r="BE199" s="259"/>
      <c r="BF199" s="260"/>
      <c r="BG199" s="259"/>
      <c r="BH199" s="259"/>
      <c r="BI199" s="259"/>
      <c r="BJ199" s="259"/>
      <c r="BK199" s="260"/>
      <c r="BM199" s="382"/>
      <c r="BN199" s="259"/>
      <c r="BO199" s="259"/>
      <c r="BP199" s="529"/>
      <c r="BQ199" s="259"/>
      <c r="BR199" s="259"/>
      <c r="BS199" s="259"/>
      <c r="BT199" s="382"/>
      <c r="BU199" s="260"/>
      <c r="BW199" s="259"/>
      <c r="BX199" s="259"/>
      <c r="BY199" s="259"/>
      <c r="BZ199" s="91"/>
      <c r="CA199" s="74"/>
      <c r="CB199" s="259"/>
      <c r="CC199" s="259"/>
      <c r="CD199" s="259"/>
      <c r="CE199" s="91"/>
      <c r="CF199" s="259"/>
      <c r="CG199" s="259"/>
      <c r="CH199" s="259"/>
      <c r="CI199" s="259"/>
      <c r="CJ199" s="260"/>
      <c r="CK199" s="259"/>
      <c r="CL199" s="259"/>
      <c r="CM199" s="259"/>
      <c r="CN199" s="259"/>
      <c r="CO199" s="260"/>
      <c r="CP199" s="259"/>
      <c r="CQ199" s="259"/>
      <c r="CR199" s="259"/>
      <c r="CS199" s="259"/>
      <c r="CT199" s="260"/>
      <c r="CU199" s="259"/>
      <c r="CV199" s="259"/>
      <c r="CW199" s="259"/>
      <c r="CX199" s="259"/>
      <c r="CY199" s="141"/>
      <c r="CZ199" s="261"/>
      <c r="DA199" s="718"/>
      <c r="DB199" s="753"/>
      <c r="DC199" s="753"/>
      <c r="DD199" s="420"/>
      <c r="DE199" s="725"/>
      <c r="DF199" s="420"/>
      <c r="DG199" s="753"/>
      <c r="DH199" s="753"/>
      <c r="DI199" s="420"/>
      <c r="DJ199" s="420"/>
      <c r="DK199" s="420"/>
      <c r="DL199" s="420"/>
      <c r="DM199" s="420"/>
      <c r="DN199" s="420"/>
      <c r="DU199" s="420"/>
      <c r="DV199" s="420"/>
      <c r="DW199" s="420"/>
      <c r="DX199" s="420"/>
      <c r="DY199" s="420"/>
      <c r="DZ199" s="420"/>
      <c r="EA199" s="420"/>
    </row>
    <row r="200" spans="1:131" x14ac:dyDescent="0.2">
      <c r="A200" s="418" t="s">
        <v>104</v>
      </c>
      <c r="B200" s="418"/>
      <c r="C200" s="418"/>
      <c r="D200" s="402"/>
      <c r="E200" s="402"/>
      <c r="F200" s="402"/>
      <c r="G200" s="402"/>
      <c r="H200" s="402">
        <v>0</v>
      </c>
      <c r="I200" s="402">
        <v>0</v>
      </c>
      <c r="J200" s="402">
        <v>0</v>
      </c>
      <c r="K200" s="402">
        <v>0</v>
      </c>
      <c r="L200" s="402">
        <v>0</v>
      </c>
      <c r="M200" s="402">
        <v>0</v>
      </c>
      <c r="N200" s="402">
        <v>0</v>
      </c>
      <c r="O200" s="402">
        <v>0</v>
      </c>
      <c r="P200" s="402">
        <v>0</v>
      </c>
      <c r="Q200" s="402">
        <v>0</v>
      </c>
      <c r="R200" s="402">
        <v>0</v>
      </c>
      <c r="S200" s="402">
        <v>0</v>
      </c>
      <c r="T200" s="403">
        <f>+W200-U200</f>
        <v>3.2430180000000002</v>
      </c>
      <c r="U200" s="403">
        <v>0.65195999999999998</v>
      </c>
      <c r="V200" s="402">
        <v>0</v>
      </c>
      <c r="W200" s="403">
        <v>3.8949780000000001</v>
      </c>
      <c r="X200" s="403">
        <v>21.332467999999999</v>
      </c>
      <c r="Y200" s="402">
        <v>0</v>
      </c>
      <c r="Z200" s="402">
        <v>0</v>
      </c>
      <c r="AA200" s="402">
        <v>0</v>
      </c>
      <c r="AB200" s="403">
        <v>21.332467999999999</v>
      </c>
      <c r="AC200" s="402">
        <v>0</v>
      </c>
      <c r="AD200" s="402">
        <v>0</v>
      </c>
      <c r="AE200" s="402">
        <v>0</v>
      </c>
      <c r="AF200" s="402">
        <v>0</v>
      </c>
      <c r="AG200" s="247">
        <v>0</v>
      </c>
      <c r="AH200" s="402">
        <v>0</v>
      </c>
      <c r="AI200" s="402">
        <v>0</v>
      </c>
      <c r="AJ200" s="402">
        <v>0</v>
      </c>
      <c r="AK200" s="402">
        <v>0</v>
      </c>
      <c r="AL200" s="247">
        <f>+AH200+AI200+AJ200+AK200</f>
        <v>0</v>
      </c>
      <c r="AM200" s="403">
        <v>13.8</v>
      </c>
      <c r="AN200" s="403">
        <v>0</v>
      </c>
      <c r="AO200" s="403">
        <f>17.2-AM200</f>
        <v>3.3999999999999986</v>
      </c>
      <c r="AP200" s="403">
        <v>0</v>
      </c>
      <c r="AQ200" s="247">
        <f>+AM200+AN200+AO200+AP200</f>
        <v>17.2</v>
      </c>
      <c r="AR200" s="402">
        <v>0</v>
      </c>
      <c r="AS200" s="403">
        <v>9.8000000000000007</v>
      </c>
      <c r="AT200" s="403">
        <v>5.2009999999999996</v>
      </c>
      <c r="AU200" s="403">
        <f>AV200-SUM(AR200:AT200)</f>
        <v>6.1989999999999981</v>
      </c>
      <c r="AV200" s="247">
        <v>21.2</v>
      </c>
      <c r="AW200" s="373">
        <f>14.023985+3.970481</f>
        <v>17.994465999999999</v>
      </c>
      <c r="AX200" s="413">
        <f>-AX202/AX201</f>
        <v>0</v>
      </c>
      <c r="AY200" s="373">
        <f>-AY202/AY201</f>
        <v>0</v>
      </c>
      <c r="AZ200" s="373">
        <v>0</v>
      </c>
      <c r="BA200" s="247">
        <f>+AW200+AX200+AY200+AZ200</f>
        <v>17.994465999999999</v>
      </c>
      <c r="BB200" s="145">
        <v>0</v>
      </c>
      <c r="BC200" s="145">
        <v>0</v>
      </c>
      <c r="BD200" s="145">
        <v>0</v>
      </c>
      <c r="BE200" s="145">
        <v>0</v>
      </c>
      <c r="BF200" s="141">
        <f>+BB200+BC200+BD200+BE200</f>
        <v>0</v>
      </c>
      <c r="BG200" s="145">
        <v>0</v>
      </c>
      <c r="BH200" s="145">
        <v>0</v>
      </c>
      <c r="BI200" s="145">
        <v>0</v>
      </c>
      <c r="BJ200" s="145">
        <v>0</v>
      </c>
      <c r="BK200" s="141">
        <f>+BG200+BH200+BI200+BJ200</f>
        <v>0</v>
      </c>
      <c r="BL200" s="145">
        <v>0</v>
      </c>
      <c r="BM200" s="145">
        <v>0</v>
      </c>
      <c r="BN200" s="145">
        <f>-BN202/BN201</f>
        <v>0</v>
      </c>
      <c r="BO200" s="560">
        <f>-BO202/BO201</f>
        <v>0.24637681159420291</v>
      </c>
      <c r="BP200" s="141">
        <f>+BL200+BM200+BN200+BO200</f>
        <v>0.24637681159420291</v>
      </c>
      <c r="BQ200" s="145">
        <f>-BQ202/BQ201</f>
        <v>7.203054094936252E-3</v>
      </c>
      <c r="BR200" s="145">
        <f>-BR202/BR201</f>
        <v>2.8125000000000001E-2</v>
      </c>
      <c r="BS200" s="145">
        <v>2.4</v>
      </c>
      <c r="BT200" s="145">
        <v>4.9948579999999998</v>
      </c>
      <c r="BU200" s="141">
        <f>+BQ200+BR200+BS200+BT200</f>
        <v>7.4301860540949356</v>
      </c>
      <c r="BV200" s="145">
        <v>0</v>
      </c>
      <c r="BW200" s="145">
        <f>-BW202/BW201</f>
        <v>7.2959183673469388E-2</v>
      </c>
      <c r="BX200" s="145">
        <f>-BX202/BX201</f>
        <v>1.0812499999999998</v>
      </c>
      <c r="BY200" s="145">
        <f>-BY202/BY201</f>
        <v>3.6665137614678902</v>
      </c>
      <c r="BZ200" s="141">
        <f>+BV200+BW200+BX200+BY200</f>
        <v>4.8207229451413589</v>
      </c>
      <c r="CA200" s="145">
        <f>-CA202/CA201</f>
        <v>1.4254385964912282</v>
      </c>
      <c r="CB200" s="145">
        <f>-CB202/CB201</f>
        <v>1.3974888200894393</v>
      </c>
      <c r="CC200" s="145">
        <f>-CC202/CC201</f>
        <v>1.370087078519058</v>
      </c>
      <c r="CD200" s="145">
        <f>-CD202/CD201</f>
        <v>1.3432226259990765</v>
      </c>
      <c r="CE200" s="141">
        <f>+CA200+CB200+CC200+CD200</f>
        <v>5.5362371210988019</v>
      </c>
      <c r="CF200" s="145">
        <f>-CF202/CF201</f>
        <v>2.0259768114616539</v>
      </c>
      <c r="CG200" s="145">
        <f>-CG202/CG201</f>
        <v>1.986251775942798</v>
      </c>
      <c r="CH200" s="145">
        <f>-CH202/CH201</f>
        <v>1.9473056626890175</v>
      </c>
      <c r="CI200" s="145">
        <f>-CI202/CI201</f>
        <v>1.909123198714723</v>
      </c>
      <c r="CJ200" s="141">
        <f>+CF200+CG200+CH200+CI200</f>
        <v>7.8686574488081922</v>
      </c>
      <c r="CK200" s="145">
        <f>-CK202/CK201</f>
        <v>1.8716894105046302</v>
      </c>
      <c r="CL200" s="145">
        <f>-CL202/CL201</f>
        <v>1.8349896181417944</v>
      </c>
      <c r="CM200" s="145">
        <f>-CM202/CM201</f>
        <v>1.7990094295507788</v>
      </c>
      <c r="CN200" s="145">
        <f>-CN202/CN201</f>
        <v>1.7637347348537047</v>
      </c>
      <c r="CO200" s="141">
        <f>+CK200+CL200+CM200+CN200</f>
        <v>7.2694231930509083</v>
      </c>
      <c r="CP200" s="145">
        <f>-CP202/CP201</f>
        <v>1.7291517008369652</v>
      </c>
      <c r="CQ200" s="145">
        <f>-CQ202/CQ201</f>
        <v>1.6952467655264365</v>
      </c>
      <c r="CR200" s="145">
        <f>-CR202/CR201</f>
        <v>1.6620066328690555</v>
      </c>
      <c r="CS200" s="145">
        <f>-CS202/CS201</f>
        <v>1.6294182675186819</v>
      </c>
      <c r="CT200" s="141">
        <f>+CP200+CQ200+CR200+CS200</f>
        <v>6.7158233667511391</v>
      </c>
      <c r="CU200" s="145">
        <f>-CU202/CU201</f>
        <v>1.597468889724198</v>
      </c>
      <c r="CV200" s="145">
        <f>-CV202/CV201</f>
        <v>1.5661459703178411</v>
      </c>
      <c r="CW200" s="145">
        <f>-CW202/CW201</f>
        <v>1.535437225801805</v>
      </c>
      <c r="CX200" s="145">
        <f>-CX202/CX201</f>
        <v>1.5053306135311812</v>
      </c>
      <c r="CY200" s="141">
        <f>+CU200+CV200+CW200+CX200</f>
        <v>6.2043826993750253</v>
      </c>
      <c r="CZ200" s="145"/>
      <c r="DA200" s="851"/>
      <c r="DB200" s="735"/>
      <c r="DC200" s="735"/>
      <c r="DD200" s="730"/>
      <c r="DF200" s="730"/>
      <c r="DG200" s="735"/>
      <c r="DH200" s="735"/>
      <c r="DI200" s="730"/>
      <c r="DJ200" s="730"/>
      <c r="DK200" s="730"/>
      <c r="DL200" s="730"/>
      <c r="DM200" s="730"/>
      <c r="DN200" s="730"/>
      <c r="DU200" s="418"/>
      <c r="DV200" s="418"/>
      <c r="DW200" s="730"/>
      <c r="DX200" s="730"/>
      <c r="DY200" s="730"/>
      <c r="DZ200" s="730"/>
      <c r="EA200" s="730"/>
    </row>
    <row r="201" spans="1:131" x14ac:dyDescent="0.2">
      <c r="A201" s="418" t="s">
        <v>190</v>
      </c>
      <c r="B201" s="418"/>
      <c r="C201" s="419"/>
      <c r="D201" s="404"/>
      <c r="E201" s="404"/>
      <c r="F201" s="404"/>
      <c r="G201" s="404"/>
      <c r="H201" s="405" t="s">
        <v>191</v>
      </c>
      <c r="I201" s="405" t="s">
        <v>191</v>
      </c>
      <c r="J201" s="405" t="s">
        <v>191</v>
      </c>
      <c r="K201" s="405" t="s">
        <v>191</v>
      </c>
      <c r="L201" s="405" t="s">
        <v>191</v>
      </c>
      <c r="M201" s="405" t="s">
        <v>191</v>
      </c>
      <c r="N201" s="405" t="s">
        <v>191</v>
      </c>
      <c r="O201" s="405" t="s">
        <v>191</v>
      </c>
      <c r="P201" s="405" t="s">
        <v>191</v>
      </c>
      <c r="Q201" s="405" t="s">
        <v>191</v>
      </c>
      <c r="R201" s="405" t="s">
        <v>191</v>
      </c>
      <c r="S201" s="405" t="s">
        <v>191</v>
      </c>
      <c r="T201" s="405">
        <f>-T202/T200</f>
        <v>25.285089382790968</v>
      </c>
      <c r="U201" s="405">
        <f>-U202/U200</f>
        <v>27.609055770292656</v>
      </c>
      <c r="V201" s="405" t="s">
        <v>191</v>
      </c>
      <c r="W201" s="405">
        <f>-W202/W200</f>
        <v>25.674085964028553</v>
      </c>
      <c r="X201" s="405">
        <f>-X202/X200</f>
        <v>23.43845072215742</v>
      </c>
      <c r="Y201" s="405" t="s">
        <v>191</v>
      </c>
      <c r="Z201" s="405" t="s">
        <v>191</v>
      </c>
      <c r="AA201" s="405" t="s">
        <v>191</v>
      </c>
      <c r="AB201" s="405">
        <f>-AB202/AB200</f>
        <v>23.43845072215742</v>
      </c>
      <c r="AC201" s="405" t="s">
        <v>191</v>
      </c>
      <c r="AD201" s="405" t="s">
        <v>191</v>
      </c>
      <c r="AE201" s="405" t="s">
        <v>191</v>
      </c>
      <c r="AF201" s="405" t="s">
        <v>191</v>
      </c>
      <c r="AG201" s="247" t="s">
        <v>191</v>
      </c>
      <c r="AH201" s="405" t="s">
        <v>191</v>
      </c>
      <c r="AI201" s="405" t="s">
        <v>191</v>
      </c>
      <c r="AJ201" s="405" t="s">
        <v>191</v>
      </c>
      <c r="AK201" s="405" t="s">
        <v>191</v>
      </c>
      <c r="AL201" s="247" t="s">
        <v>191</v>
      </c>
      <c r="AM201" s="406">
        <f>-AM202/(SUM(AM200:AO200))</f>
        <v>17.441860465116278</v>
      </c>
      <c r="AN201" s="406">
        <f>+AM201</f>
        <v>17.441860465116278</v>
      </c>
      <c r="AO201" s="406">
        <f>+AN201</f>
        <v>17.441860465116278</v>
      </c>
      <c r="AP201" s="405" t="s">
        <v>191</v>
      </c>
      <c r="AQ201" s="247" t="s">
        <v>191</v>
      </c>
      <c r="AR201" s="405" t="s">
        <v>191</v>
      </c>
      <c r="AS201" s="405">
        <f>-AS202/AS200</f>
        <v>19.132653061224488</v>
      </c>
      <c r="AT201" s="405">
        <v>18.03</v>
      </c>
      <c r="AU201" s="405">
        <f>-AU202/AU200</f>
        <v>21.358283594128089</v>
      </c>
      <c r="AV201" s="247">
        <f>IF(AV202=0,"NA",-AV202/AV200)</f>
        <v>19.514150943396228</v>
      </c>
      <c r="AW201" s="414">
        <f>-AW202/AW200</f>
        <v>21.284321524184158</v>
      </c>
      <c r="AX201" s="414">
        <v>28.5</v>
      </c>
      <c r="AY201" s="414">
        <v>36</v>
      </c>
      <c r="AZ201" s="414">
        <v>36</v>
      </c>
      <c r="BA201" s="247">
        <f t="shared" ref="BA201:BF201" si="299">IF(BA202=0,"NA",-BA202/BA200)</f>
        <v>21.284321524184158</v>
      </c>
      <c r="BB201" s="410" t="str">
        <f t="shared" si="299"/>
        <v>NA</v>
      </c>
      <c r="BC201" s="410" t="str">
        <f t="shared" si="299"/>
        <v>NA</v>
      </c>
      <c r="BD201" s="410" t="str">
        <f t="shared" si="299"/>
        <v>NA</v>
      </c>
      <c r="BE201" s="410" t="str">
        <f t="shared" si="299"/>
        <v>NA</v>
      </c>
      <c r="BF201" s="141" t="str">
        <f t="shared" si="299"/>
        <v>NA</v>
      </c>
      <c r="BG201" s="410" t="str">
        <f ca="1">IF(BG202=0,"NA",-BG202/BG200)</f>
        <v>NA</v>
      </c>
      <c r="BH201" s="410" t="str">
        <f ca="1">IF(BH202=0,"NA",-BH202/BH200)</f>
        <v>NA</v>
      </c>
      <c r="BI201" s="410">
        <v>0</v>
      </c>
      <c r="BJ201" s="410">
        <f>+BI201*1.01</f>
        <v>0</v>
      </c>
      <c r="BK201" s="141" t="str">
        <f>IF(BK202=0,"NA",-BK202/BK200)</f>
        <v>NA</v>
      </c>
      <c r="BL201" s="410">
        <f>+BJ201*1.01</f>
        <v>0</v>
      </c>
      <c r="BM201" s="410">
        <f>+BL201*1.01</f>
        <v>0</v>
      </c>
      <c r="BN201" s="410">
        <v>120</v>
      </c>
      <c r="BO201" s="561">
        <v>138</v>
      </c>
      <c r="BP201" s="141">
        <f>IF(BP202=0,"NA",-BP202/BP200)</f>
        <v>138</v>
      </c>
      <c r="BQ201" s="561">
        <v>138.83000000000001</v>
      </c>
      <c r="BR201" s="561">
        <v>160</v>
      </c>
      <c r="BS201" s="561">
        <f>-BS202/BS200</f>
        <v>152.95833333333334</v>
      </c>
      <c r="BT201" s="561">
        <f>-BT202/BT200</f>
        <v>150.17443939347226</v>
      </c>
      <c r="BU201" s="141">
        <f>-BU202/BU200</f>
        <v>151.09985023608607</v>
      </c>
      <c r="BV201" s="410">
        <v>172</v>
      </c>
      <c r="BW201" s="410">
        <v>196</v>
      </c>
      <c r="BX201" s="410">
        <v>208</v>
      </c>
      <c r="BY201" s="410">
        <v>218</v>
      </c>
      <c r="BZ201" s="141">
        <f>-BZ202/BZ200</f>
        <v>215.42412036905554</v>
      </c>
      <c r="CA201" s="410">
        <v>228</v>
      </c>
      <c r="CB201" s="410">
        <f>+CA201*1.02</f>
        <v>232.56</v>
      </c>
      <c r="CC201" s="410">
        <f>+CB201*1.02</f>
        <v>237.21120000000002</v>
      </c>
      <c r="CD201" s="410">
        <f>+CC201*1.02</f>
        <v>241.95542400000002</v>
      </c>
      <c r="CE201" s="141">
        <f>-CE202/CE200</f>
        <v>234.81653180021002</v>
      </c>
      <c r="CF201" s="410">
        <f>+CD201*1.02</f>
        <v>246.79453248000002</v>
      </c>
      <c r="CG201" s="410">
        <f>+CF201*1.02</f>
        <v>251.73042312960001</v>
      </c>
      <c r="CH201" s="410">
        <f>+CG201*1.02</f>
        <v>256.76503159219203</v>
      </c>
      <c r="CI201" s="410">
        <f>+CH201*1.02</f>
        <v>261.90033222403588</v>
      </c>
      <c r="CJ201" s="141">
        <f>-CJ202/CJ200</f>
        <v>254.17296572021004</v>
      </c>
      <c r="CK201" s="410">
        <f>+CI201*1.02</f>
        <v>267.1383388685166</v>
      </c>
      <c r="CL201" s="410">
        <f>+CK201*1.02</f>
        <v>272.48110564588694</v>
      </c>
      <c r="CM201" s="410">
        <f>+CL201*1.02</f>
        <v>277.93072775880466</v>
      </c>
      <c r="CN201" s="410">
        <f>+CM201*1.02</f>
        <v>283.48934231398079</v>
      </c>
      <c r="CO201" s="141">
        <f>-CO202/CO200</f>
        <v>275.1249922981329</v>
      </c>
      <c r="CP201" s="410">
        <f>+CN201*1.02</f>
        <v>289.15912916026042</v>
      </c>
      <c r="CQ201" s="410">
        <f>+CP201*1.02</f>
        <v>294.94231174346561</v>
      </c>
      <c r="CR201" s="410">
        <f>+CQ201*1.02</f>
        <v>300.84115797833493</v>
      </c>
      <c r="CS201" s="410">
        <f>+CR201*1.02</f>
        <v>306.85798113790162</v>
      </c>
      <c r="CT201" s="141">
        <f>-CT202/CT200</f>
        <v>297.80413968325144</v>
      </c>
      <c r="CU201" s="410">
        <f>+CS201*1.02</f>
        <v>312.99514076065964</v>
      </c>
      <c r="CV201" s="410">
        <f>+CU201*1.02</f>
        <v>319.25504357587283</v>
      </c>
      <c r="CW201" s="410">
        <f>+CV201*1.02</f>
        <v>325.6401444473903</v>
      </c>
      <c r="CX201" s="410">
        <f>+CW201*1.02</f>
        <v>332.15294733633812</v>
      </c>
      <c r="CY201" s="141">
        <f>-CY202/CY200</f>
        <v>322.35277817428351</v>
      </c>
      <c r="CZ201" s="874"/>
      <c r="DA201" s="747"/>
      <c r="DB201" s="419"/>
      <c r="DC201" s="419"/>
      <c r="DD201" s="420"/>
      <c r="DE201" s="725"/>
      <c r="DF201" s="420"/>
      <c r="DG201" s="419"/>
      <c r="DH201" s="419"/>
      <c r="DI201" s="420"/>
      <c r="DJ201" s="420"/>
      <c r="DK201" s="420"/>
      <c r="DL201" s="420"/>
      <c r="DM201" s="420"/>
      <c r="DN201" s="420"/>
      <c r="DU201" s="420"/>
      <c r="DV201" s="420"/>
      <c r="DW201" s="420"/>
      <c r="DX201" s="420"/>
      <c r="DY201" s="420"/>
      <c r="DZ201" s="420"/>
      <c r="EA201" s="420"/>
    </row>
    <row r="202" spans="1:131" x14ac:dyDescent="0.2">
      <c r="A202" s="418" t="s">
        <v>192</v>
      </c>
      <c r="B202" s="418"/>
      <c r="C202" s="418"/>
      <c r="D202" s="402"/>
      <c r="E202" s="402"/>
      <c r="F202" s="402"/>
      <c r="G202" s="402"/>
      <c r="H202" s="403">
        <v>0</v>
      </c>
      <c r="I202" s="403">
        <f t="shared" ref="I202:AJ202" si="300">+I157</f>
        <v>0</v>
      </c>
      <c r="J202" s="402">
        <f t="shared" si="300"/>
        <v>0</v>
      </c>
      <c r="K202" s="402">
        <f t="shared" si="300"/>
        <v>0</v>
      </c>
      <c r="L202" s="403">
        <f t="shared" si="300"/>
        <v>0</v>
      </c>
      <c r="M202" s="403">
        <f t="shared" si="300"/>
        <v>0</v>
      </c>
      <c r="N202" s="403">
        <f t="shared" si="300"/>
        <v>0</v>
      </c>
      <c r="O202" s="403">
        <f t="shared" si="300"/>
        <v>0</v>
      </c>
      <c r="P202" s="403">
        <f t="shared" si="300"/>
        <v>0</v>
      </c>
      <c r="Q202" s="403">
        <f t="shared" si="300"/>
        <v>0</v>
      </c>
      <c r="R202" s="403">
        <f t="shared" si="300"/>
        <v>0</v>
      </c>
      <c r="S202" s="402">
        <f t="shared" si="300"/>
        <v>0</v>
      </c>
      <c r="T202" s="402">
        <f t="shared" si="300"/>
        <v>-82</v>
      </c>
      <c r="U202" s="402">
        <f t="shared" si="300"/>
        <v>-18</v>
      </c>
      <c r="V202" s="402">
        <f t="shared" si="300"/>
        <v>0</v>
      </c>
      <c r="W202" s="402">
        <f t="shared" si="300"/>
        <v>-100</v>
      </c>
      <c r="X202" s="402">
        <f t="shared" si="300"/>
        <v>-500</v>
      </c>
      <c r="Y202" s="402">
        <f t="shared" si="300"/>
        <v>0</v>
      </c>
      <c r="Z202" s="402">
        <f t="shared" si="300"/>
        <v>0</v>
      </c>
      <c r="AA202" s="402">
        <f t="shared" si="300"/>
        <v>0</v>
      </c>
      <c r="AB202" s="402">
        <f t="shared" si="300"/>
        <v>-500</v>
      </c>
      <c r="AC202" s="402">
        <f t="shared" si="300"/>
        <v>0</v>
      </c>
      <c r="AD202" s="402">
        <f t="shared" si="300"/>
        <v>0</v>
      </c>
      <c r="AE202" s="402">
        <f t="shared" si="300"/>
        <v>0</v>
      </c>
      <c r="AF202" s="402">
        <f t="shared" si="300"/>
        <v>0</v>
      </c>
      <c r="AG202" s="247">
        <f t="shared" si="300"/>
        <v>0</v>
      </c>
      <c r="AH202" s="402">
        <f t="shared" si="300"/>
        <v>0</v>
      </c>
      <c r="AI202" s="402">
        <f t="shared" si="300"/>
        <v>0</v>
      </c>
      <c r="AJ202" s="402">
        <f t="shared" si="300"/>
        <v>0</v>
      </c>
      <c r="AK202" s="402">
        <f ca="1">+AK157</f>
        <v>0</v>
      </c>
      <c r="AL202" s="247">
        <v>0</v>
      </c>
      <c r="AM202" s="402">
        <f>+AM157</f>
        <v>-300</v>
      </c>
      <c r="AN202" s="402">
        <v>0</v>
      </c>
      <c r="AO202" s="402">
        <v>0</v>
      </c>
      <c r="AP202" s="402">
        <v>0</v>
      </c>
      <c r="AQ202" s="247">
        <f>SUM(AM202:AP202)</f>
        <v>-300</v>
      </c>
      <c r="AR202" s="402">
        <v>0</v>
      </c>
      <c r="AS202" s="402">
        <f>+AS157</f>
        <v>-187.5</v>
      </c>
      <c r="AT202" s="402">
        <f>+AT157</f>
        <v>-93.800000000000011</v>
      </c>
      <c r="AU202" s="402">
        <f>+AU157</f>
        <v>-132.39999999999998</v>
      </c>
      <c r="AV202" s="247">
        <f>SUM(AR202:AU202)</f>
        <v>-413.7</v>
      </c>
      <c r="AW202" s="413">
        <f>+AW157</f>
        <v>-383</v>
      </c>
      <c r="AX202" s="413">
        <v>0</v>
      </c>
      <c r="AY202" s="413">
        <v>0</v>
      </c>
      <c r="AZ202" s="413">
        <v>0</v>
      </c>
      <c r="BA202" s="247">
        <f>SUM(AW202:AZ202)</f>
        <v>-383</v>
      </c>
      <c r="BB202" s="411">
        <v>0</v>
      </c>
      <c r="BC202" s="411">
        <v>0</v>
      </c>
      <c r="BD202" s="411">
        <v>0</v>
      </c>
      <c r="BE202" s="146">
        <f>+BF202-BB202-BC202-BD202</f>
        <v>0</v>
      </c>
      <c r="BF202" s="247">
        <v>0</v>
      </c>
      <c r="BG202" s="411">
        <f ca="1">+BH202-BD202-BE202-BF202</f>
        <v>0</v>
      </c>
      <c r="BH202" s="411">
        <f ca="1">+BI202-BE202-BF202-BG202</f>
        <v>0</v>
      </c>
      <c r="BI202" s="411">
        <f ca="1">+BH202</f>
        <v>0</v>
      </c>
      <c r="BJ202" s="146">
        <f ca="1">+BK202-BG202-BH202-BI202</f>
        <v>0</v>
      </c>
      <c r="BK202" s="247">
        <v>0</v>
      </c>
      <c r="BL202" s="411">
        <v>0</v>
      </c>
      <c r="BM202" s="411">
        <v>0</v>
      </c>
      <c r="BN202" s="411">
        <v>0</v>
      </c>
      <c r="BO202" s="146">
        <v>-34</v>
      </c>
      <c r="BP202" s="262">
        <f>+SUM(BL202:BO202)</f>
        <v>-34</v>
      </c>
      <c r="BQ202" s="146">
        <v>-1</v>
      </c>
      <c r="BR202" s="146">
        <f>-5.5-BQ202</f>
        <v>-4.5</v>
      </c>
      <c r="BS202" s="561">
        <f>-372.6-BR202-BQ202</f>
        <v>-367.1</v>
      </c>
      <c r="BT202" s="146">
        <f>BU202-BS202-BR202-BQ202</f>
        <v>-750.1</v>
      </c>
      <c r="BU202" s="596">
        <v>-1122.7</v>
      </c>
      <c r="BV202" s="146">
        <v>0</v>
      </c>
      <c r="BW202" s="146">
        <f>+BW157</f>
        <v>-14.3</v>
      </c>
      <c r="BX202" s="146">
        <f>+BX157</f>
        <v>-224.89999999999998</v>
      </c>
      <c r="BY202" s="146">
        <f>BZ202-BX202-BW202-BV202</f>
        <v>-799.30000000000007</v>
      </c>
      <c r="BZ202" s="596">
        <v>-1038.5</v>
      </c>
      <c r="CA202" s="411">
        <f>+CE202/4</f>
        <v>-325</v>
      </c>
      <c r="CB202" s="411">
        <f>+CA202</f>
        <v>-325</v>
      </c>
      <c r="CC202" s="411">
        <f>+CB202</f>
        <v>-325</v>
      </c>
      <c r="CD202" s="146">
        <f>+CE202-CA202-CB202-CC202</f>
        <v>-325</v>
      </c>
      <c r="CE202" s="262">
        <v>-1300</v>
      </c>
      <c r="CF202" s="411">
        <f>+CJ202/4</f>
        <v>-500</v>
      </c>
      <c r="CG202" s="411">
        <f>+CF202</f>
        <v>-500</v>
      </c>
      <c r="CH202" s="411">
        <f>+CG202</f>
        <v>-500</v>
      </c>
      <c r="CI202" s="146">
        <f>+CJ202-CF202-CG202-CH202</f>
        <v>-500</v>
      </c>
      <c r="CJ202" s="262">
        <v>-2000</v>
      </c>
      <c r="CK202" s="411">
        <f>+CO202/4</f>
        <v>-500</v>
      </c>
      <c r="CL202" s="411">
        <f>+CK202</f>
        <v>-500</v>
      </c>
      <c r="CM202" s="411">
        <f>+CL202</f>
        <v>-500</v>
      </c>
      <c r="CN202" s="146">
        <f>+CO202-CK202-CL202-CM202</f>
        <v>-500</v>
      </c>
      <c r="CO202" s="262">
        <v>-2000</v>
      </c>
      <c r="CP202" s="411">
        <f>+CT202/4</f>
        <v>-500</v>
      </c>
      <c r="CQ202" s="411">
        <f>+CP202</f>
        <v>-500</v>
      </c>
      <c r="CR202" s="411">
        <f>+CQ202</f>
        <v>-500</v>
      </c>
      <c r="CS202" s="146">
        <f>+CT202-CP202-CQ202-CR202</f>
        <v>-500</v>
      </c>
      <c r="CT202" s="262">
        <v>-2000</v>
      </c>
      <c r="CU202" s="411">
        <f>+CY202/4</f>
        <v>-500</v>
      </c>
      <c r="CV202" s="411">
        <f>+CU202</f>
        <v>-500</v>
      </c>
      <c r="CW202" s="411">
        <f>+CV202</f>
        <v>-500</v>
      </c>
      <c r="CX202" s="146">
        <f>+CY202-CU202-CV202-CW202</f>
        <v>-500</v>
      </c>
      <c r="CY202" s="262">
        <f>+CT202</f>
        <v>-2000</v>
      </c>
      <c r="CZ202" s="411"/>
      <c r="DA202" s="843"/>
      <c r="DB202" s="735"/>
      <c r="DC202" s="735"/>
      <c r="DD202" s="730"/>
      <c r="DF202" s="730"/>
      <c r="DG202" s="735"/>
      <c r="DH202" s="735"/>
      <c r="DI202" s="730"/>
      <c r="DJ202" s="730"/>
      <c r="DK202" s="730"/>
      <c r="DL202" s="730"/>
      <c r="DM202" s="730"/>
      <c r="DN202" s="730"/>
      <c r="DU202" s="418"/>
      <c r="DV202" s="418"/>
      <c r="DW202" s="730"/>
      <c r="DX202" s="730"/>
      <c r="DY202" s="730"/>
      <c r="DZ202" s="730"/>
      <c r="EA202" s="730"/>
    </row>
    <row r="203" spans="1:131" ht="5.25" customHeight="1" x14ac:dyDescent="0.2">
      <c r="A203" s="418"/>
      <c r="B203" s="418"/>
      <c r="C203" s="418"/>
      <c r="D203" s="402"/>
      <c r="E203" s="402"/>
      <c r="F203" s="402"/>
      <c r="G203" s="402"/>
      <c r="H203" s="403"/>
      <c r="I203" s="403"/>
      <c r="J203" s="402"/>
      <c r="K203" s="402"/>
      <c r="L203" s="403"/>
      <c r="M203" s="403"/>
      <c r="N203" s="403"/>
      <c r="O203" s="403"/>
      <c r="P203" s="403"/>
      <c r="Q203" s="403"/>
      <c r="R203" s="403"/>
      <c r="S203" s="402"/>
      <c r="T203" s="402"/>
      <c r="U203" s="402"/>
      <c r="V203" s="402"/>
      <c r="W203" s="402"/>
      <c r="X203" s="402"/>
      <c r="Y203" s="402"/>
      <c r="Z203" s="402"/>
      <c r="AA203" s="402"/>
      <c r="AB203" s="402"/>
      <c r="AC203" s="402"/>
      <c r="AD203" s="402"/>
      <c r="AE203" s="402"/>
      <c r="AF203" s="402"/>
      <c r="AG203" s="247"/>
      <c r="AH203" s="402"/>
      <c r="AI203" s="402"/>
      <c r="AJ203" s="402"/>
      <c r="AK203" s="402"/>
      <c r="AL203" s="247"/>
      <c r="AM203" s="402"/>
      <c r="AN203" s="402"/>
      <c r="AO203" s="402"/>
      <c r="AP203" s="402"/>
      <c r="AQ203" s="247"/>
      <c r="AR203" s="402"/>
      <c r="AS203" s="402"/>
      <c r="AT203" s="402"/>
      <c r="AU203" s="402"/>
      <c r="AV203" s="247"/>
      <c r="AW203" s="413"/>
      <c r="AX203" s="413"/>
      <c r="AY203" s="413"/>
      <c r="AZ203" s="413"/>
      <c r="BA203" s="247"/>
      <c r="BB203" s="411"/>
      <c r="BC203" s="411"/>
      <c r="BD203" s="411"/>
      <c r="BE203" s="146"/>
      <c r="BF203" s="262"/>
      <c r="BG203" s="411"/>
      <c r="BH203" s="411"/>
      <c r="BI203" s="411"/>
      <c r="BJ203" s="146"/>
      <c r="BK203" s="262"/>
      <c r="BL203" s="411"/>
      <c r="BM203" s="411"/>
      <c r="BN203" s="411"/>
      <c r="BO203" s="146"/>
      <c r="BP203" s="262"/>
      <c r="BQ203" s="146"/>
      <c r="BR203" s="146"/>
      <c r="BS203" s="146"/>
      <c r="BT203" s="146"/>
      <c r="BU203" s="262"/>
      <c r="BV203" s="146"/>
      <c r="BW203" s="146"/>
      <c r="BX203" s="146"/>
      <c r="BY203" s="146"/>
      <c r="BZ203" s="262"/>
      <c r="CA203" s="411"/>
      <c r="CB203" s="411"/>
      <c r="CC203" s="411"/>
      <c r="CD203" s="146"/>
      <c r="CE203" s="262"/>
      <c r="CF203" s="411"/>
      <c r="CG203" s="411"/>
      <c r="CH203" s="411"/>
      <c r="CI203" s="146"/>
      <c r="CJ203" s="262"/>
      <c r="CK203" s="411"/>
      <c r="CL203" s="411"/>
      <c r="CM203" s="411"/>
      <c r="CN203" s="146"/>
      <c r="CO203" s="262"/>
      <c r="CP203" s="411"/>
      <c r="CQ203" s="411"/>
      <c r="CR203" s="411"/>
      <c r="CS203" s="146"/>
      <c r="CT203" s="262"/>
      <c r="CU203" s="411"/>
      <c r="CV203" s="411"/>
      <c r="CW203" s="411"/>
      <c r="CX203" s="146"/>
      <c r="CY203" s="262"/>
      <c r="CZ203" s="411"/>
      <c r="DA203" s="843"/>
      <c r="DB203" s="735"/>
      <c r="DC203" s="735"/>
      <c r="DD203" s="730"/>
      <c r="DF203" s="730"/>
      <c r="DG203" s="735"/>
      <c r="DH203" s="735"/>
      <c r="DI203" s="730"/>
      <c r="DJ203" s="730"/>
      <c r="DK203" s="730"/>
      <c r="DL203" s="730"/>
      <c r="DM203" s="730"/>
      <c r="DN203" s="730"/>
      <c r="DU203" s="418"/>
      <c r="DV203" s="418"/>
      <c r="DW203" s="730"/>
      <c r="DX203" s="730"/>
      <c r="DY203" s="730"/>
      <c r="DZ203" s="730"/>
      <c r="EA203" s="730"/>
    </row>
    <row r="204" spans="1:131" x14ac:dyDescent="0.2">
      <c r="A204" s="416" t="s">
        <v>98</v>
      </c>
      <c r="B204" s="418"/>
      <c r="C204" s="418"/>
      <c r="D204" s="402"/>
      <c r="E204" s="402"/>
      <c r="F204" s="402"/>
      <c r="G204" s="402"/>
      <c r="H204" s="403"/>
      <c r="I204" s="403"/>
      <c r="J204" s="402"/>
      <c r="K204" s="402"/>
      <c r="L204" s="403"/>
      <c r="M204" s="403"/>
      <c r="N204" s="403"/>
      <c r="O204" s="403"/>
      <c r="P204" s="403"/>
      <c r="Q204" s="403"/>
      <c r="R204" s="403"/>
      <c r="S204" s="402"/>
      <c r="T204" s="402"/>
      <c r="U204" s="402"/>
      <c r="V204" s="402"/>
      <c r="W204" s="402"/>
      <c r="X204" s="402"/>
      <c r="Y204" s="402"/>
      <c r="Z204" s="402"/>
      <c r="AA204" s="402"/>
      <c r="AB204" s="402"/>
      <c r="AC204" s="402"/>
      <c r="AD204" s="402"/>
      <c r="AE204" s="402"/>
      <c r="AF204" s="402"/>
      <c r="AG204" s="247"/>
      <c r="AH204" s="402"/>
      <c r="AI204" s="402"/>
      <c r="AJ204" s="402"/>
      <c r="AK204" s="402"/>
      <c r="AL204" s="247"/>
      <c r="AM204" s="402"/>
      <c r="AN204" s="402"/>
      <c r="AO204" s="402"/>
      <c r="AP204" s="402"/>
      <c r="AQ204" s="247"/>
      <c r="AR204" s="402"/>
      <c r="AS204" s="402"/>
      <c r="AT204" s="402"/>
      <c r="AU204" s="402"/>
      <c r="AV204" s="247"/>
      <c r="AW204" s="413"/>
      <c r="AX204" s="413"/>
      <c r="AY204" s="413"/>
      <c r="AZ204" s="413"/>
      <c r="BA204" s="247"/>
      <c r="BB204" s="411"/>
      <c r="BC204" s="411"/>
      <c r="BD204" s="411"/>
      <c r="BE204" s="146"/>
      <c r="BF204" s="262"/>
      <c r="BG204" s="146">
        <f t="shared" ref="BG204:BP204" si="301">+BG82</f>
        <v>0.95194799999995894</v>
      </c>
      <c r="BH204" s="146">
        <f t="shared" si="301"/>
        <v>0.4252710000000377</v>
      </c>
      <c r="BI204" s="146">
        <f t="shared" si="301"/>
        <v>0.62561499999998205</v>
      </c>
      <c r="BJ204" s="146">
        <f t="shared" si="301"/>
        <v>1.0683400000000347</v>
      </c>
      <c r="BK204" s="178">
        <f t="shared" si="301"/>
        <v>3.0711740000000134</v>
      </c>
      <c r="BL204" s="146">
        <f t="shared" si="301"/>
        <v>0.73184899999998265</v>
      </c>
      <c r="BM204" s="146">
        <f t="shared" si="301"/>
        <v>0.91690499999998565</v>
      </c>
      <c r="BN204" s="146">
        <f t="shared" si="301"/>
        <v>3.0346100000000433</v>
      </c>
      <c r="BO204" s="146">
        <f t="shared" si="301"/>
        <v>0.47844881159420538</v>
      </c>
      <c r="BP204" s="178">
        <f t="shared" si="301"/>
        <v>5.161812811594217</v>
      </c>
      <c r="BQ204" s="146">
        <f t="shared" ref="BQ204:CY204" si="302">+BQ82</f>
        <v>1.0518440540948859</v>
      </c>
      <c r="BR204" s="146">
        <f t="shared" si="302"/>
        <v>0.68829399999998486</v>
      </c>
      <c r="BS204" s="146">
        <f t="shared" si="302"/>
        <v>0.26636500000000751</v>
      </c>
      <c r="BT204" s="146">
        <f>+BT82</f>
        <v>0.76758399999999938</v>
      </c>
      <c r="BU204" s="178">
        <f>+BU82</f>
        <v>2.7740870540948777</v>
      </c>
      <c r="BV204" s="146">
        <f>+BV82</f>
        <v>0.50929800000000114</v>
      </c>
      <c r="BW204" s="146">
        <f>+BW82</f>
        <v>0.33956518367349986</v>
      </c>
      <c r="BX204" s="146">
        <f t="shared" si="302"/>
        <v>0.21613299999998503</v>
      </c>
      <c r="BY204" s="146">
        <f t="shared" si="302"/>
        <v>0.7</v>
      </c>
      <c r="BZ204" s="178">
        <f t="shared" si="302"/>
        <v>1.764996183673486</v>
      </c>
      <c r="CA204" s="146">
        <f t="shared" si="302"/>
        <v>0.50929800000000114</v>
      </c>
      <c r="CB204" s="146">
        <f t="shared" si="302"/>
        <v>0.33956518367349986</v>
      </c>
      <c r="CC204" s="146">
        <f t="shared" si="302"/>
        <v>0.21613299999998503</v>
      </c>
      <c r="CD204" s="146">
        <f t="shared" si="302"/>
        <v>0.7</v>
      </c>
      <c r="CE204" s="178">
        <f t="shared" si="302"/>
        <v>1.764996183673486</v>
      </c>
      <c r="CF204" s="146">
        <f t="shared" si="302"/>
        <v>0.50929800000000114</v>
      </c>
      <c r="CG204" s="146">
        <f t="shared" si="302"/>
        <v>0.33956518367349986</v>
      </c>
      <c r="CH204" s="146">
        <f t="shared" si="302"/>
        <v>0.21613299999998503</v>
      </c>
      <c r="CI204" s="146">
        <f t="shared" si="302"/>
        <v>0.7</v>
      </c>
      <c r="CJ204" s="178">
        <f t="shared" si="302"/>
        <v>1.764996183673486</v>
      </c>
      <c r="CK204" s="146">
        <f t="shared" si="302"/>
        <v>0.50929800000000114</v>
      </c>
      <c r="CL204" s="146">
        <f t="shared" si="302"/>
        <v>0.33956518367349986</v>
      </c>
      <c r="CM204" s="146">
        <f t="shared" si="302"/>
        <v>0.21613299999998503</v>
      </c>
      <c r="CN204" s="146">
        <f t="shared" si="302"/>
        <v>0.7</v>
      </c>
      <c r="CO204" s="178">
        <f t="shared" si="302"/>
        <v>1.764996183673486</v>
      </c>
      <c r="CP204" s="146">
        <f t="shared" si="302"/>
        <v>0.50929800000000114</v>
      </c>
      <c r="CQ204" s="146">
        <f t="shared" si="302"/>
        <v>0.33956518367349986</v>
      </c>
      <c r="CR204" s="146">
        <f t="shared" si="302"/>
        <v>0.21613299999998503</v>
      </c>
      <c r="CS204" s="146">
        <f t="shared" si="302"/>
        <v>0.7</v>
      </c>
      <c r="CT204" s="178">
        <f t="shared" si="302"/>
        <v>1.764996183673486</v>
      </c>
      <c r="CU204" s="146">
        <f t="shared" si="302"/>
        <v>0.50929800000000114</v>
      </c>
      <c r="CV204" s="146">
        <f t="shared" si="302"/>
        <v>0.33956518367349986</v>
      </c>
      <c r="CW204" s="146">
        <f t="shared" si="302"/>
        <v>0.21613299999998503</v>
      </c>
      <c r="CX204" s="146">
        <f t="shared" si="302"/>
        <v>0.7</v>
      </c>
      <c r="CY204" s="178">
        <f t="shared" si="302"/>
        <v>1.764996183673486</v>
      </c>
      <c r="CZ204" s="411"/>
      <c r="DA204" s="843"/>
      <c r="DB204" s="735"/>
      <c r="DC204" s="735"/>
      <c r="DD204" s="730"/>
      <c r="DF204" s="730"/>
      <c r="DG204" s="735"/>
      <c r="DH204" s="735"/>
      <c r="DI204" s="730"/>
      <c r="DJ204" s="730"/>
      <c r="DK204" s="730"/>
      <c r="DL204" s="730"/>
      <c r="DM204" s="730"/>
      <c r="DN204" s="730"/>
      <c r="DU204" s="418"/>
      <c r="DV204" s="418"/>
      <c r="DW204" s="730"/>
      <c r="DX204" s="730"/>
      <c r="DY204" s="730"/>
      <c r="DZ204" s="730"/>
      <c r="EA204" s="730"/>
    </row>
    <row r="205" spans="1:131" x14ac:dyDescent="0.2">
      <c r="A205" s="418" t="s">
        <v>280</v>
      </c>
      <c r="B205" s="418"/>
      <c r="C205" s="418"/>
      <c r="D205" s="402"/>
      <c r="E205" s="402"/>
      <c r="F205" s="402"/>
      <c r="G205" s="402"/>
      <c r="H205" s="403"/>
      <c r="I205" s="403"/>
      <c r="J205" s="402"/>
      <c r="K205" s="402"/>
      <c r="L205" s="403"/>
      <c r="M205" s="403"/>
      <c r="N205" s="403"/>
      <c r="O205" s="403"/>
      <c r="P205" s="403"/>
      <c r="Q205" s="403"/>
      <c r="R205" s="403"/>
      <c r="S205" s="402"/>
      <c r="T205" s="402"/>
      <c r="U205" s="402"/>
      <c r="V205" s="402"/>
      <c r="W205" s="402"/>
      <c r="X205" s="402"/>
      <c r="Y205" s="402"/>
      <c r="Z205" s="402"/>
      <c r="AA205" s="402"/>
      <c r="AB205" s="402"/>
      <c r="AC205" s="402"/>
      <c r="AD205" s="402"/>
      <c r="AE205" s="402"/>
      <c r="AF205" s="402"/>
      <c r="AG205" s="247"/>
      <c r="AH205" s="402"/>
      <c r="AI205" s="402"/>
      <c r="AJ205" s="402"/>
      <c r="AK205" s="402"/>
      <c r="AL205" s="247"/>
      <c r="AM205" s="402"/>
      <c r="AN205" s="402"/>
      <c r="AO205" s="402"/>
      <c r="AP205" s="402"/>
      <c r="AQ205" s="247"/>
      <c r="AR205" s="402"/>
      <c r="AS205" s="402"/>
      <c r="AT205" s="402"/>
      <c r="AU205" s="402"/>
      <c r="AV205" s="247"/>
      <c r="AW205" s="413"/>
      <c r="AX205" s="413"/>
      <c r="AY205" s="413"/>
      <c r="AZ205" s="413"/>
      <c r="BA205" s="247"/>
      <c r="BB205" s="411"/>
      <c r="BC205" s="411"/>
      <c r="BD205" s="411"/>
      <c r="BE205" s="146"/>
      <c r="BF205" s="262"/>
      <c r="BG205" s="426">
        <v>21.82</v>
      </c>
      <c r="BH205" s="146">
        <f>+BG205</f>
        <v>21.82</v>
      </c>
      <c r="BI205" s="146">
        <f>+BH205</f>
        <v>21.82</v>
      </c>
      <c r="BJ205" s="146">
        <f>+BI205</f>
        <v>21.82</v>
      </c>
      <c r="BK205" s="178">
        <f>+AVERAGE(BG205:BJ205)</f>
        <v>21.82</v>
      </c>
      <c r="BL205" s="146">
        <f>+BJ205</f>
        <v>21.82</v>
      </c>
      <c r="BM205" s="146">
        <f>+BL205</f>
        <v>21.82</v>
      </c>
      <c r="BN205" s="146">
        <f>+BM205</f>
        <v>21.82</v>
      </c>
      <c r="BO205" s="146">
        <f>+BN205</f>
        <v>21.82</v>
      </c>
      <c r="BP205" s="178">
        <f>+AVERAGE(BL205:BO205)</f>
        <v>21.82</v>
      </c>
      <c r="BQ205" s="146">
        <f>+BO205</f>
        <v>21.82</v>
      </c>
      <c r="BR205" s="146">
        <f>+BQ205</f>
        <v>21.82</v>
      </c>
      <c r="BS205" s="146">
        <f>+BR205</f>
        <v>21.82</v>
      </c>
      <c r="BT205" s="146">
        <f>+BS205</f>
        <v>21.82</v>
      </c>
      <c r="BU205" s="178">
        <f>+AVERAGE(BQ205:BT205)</f>
        <v>21.82</v>
      </c>
      <c r="BV205" s="146">
        <f>+BT205</f>
        <v>21.82</v>
      </c>
      <c r="BW205" s="146">
        <f>+BV205</f>
        <v>21.82</v>
      </c>
      <c r="BX205" s="146">
        <f>+BW205</f>
        <v>21.82</v>
      </c>
      <c r="BY205" s="146">
        <f>+BX205</f>
        <v>21.82</v>
      </c>
      <c r="BZ205" s="178">
        <f>+AVERAGE(BV205:BY205)</f>
        <v>21.82</v>
      </c>
      <c r="CA205" s="410">
        <v>42.13</v>
      </c>
      <c r="CB205" s="146">
        <f>+CA205</f>
        <v>42.13</v>
      </c>
      <c r="CC205" s="146">
        <f>+CB205</f>
        <v>42.13</v>
      </c>
      <c r="CD205" s="146">
        <f>+CC205</f>
        <v>42.13</v>
      </c>
      <c r="CE205" s="178">
        <f>+AVERAGE(CA205:CD205)</f>
        <v>42.13</v>
      </c>
      <c r="CF205" s="146">
        <f>+CD205</f>
        <v>42.13</v>
      </c>
      <c r="CG205" s="146">
        <f>+CF205</f>
        <v>42.13</v>
      </c>
      <c r="CH205" s="146">
        <f>+CG205</f>
        <v>42.13</v>
      </c>
      <c r="CI205" s="146">
        <f>+CH205</f>
        <v>42.13</v>
      </c>
      <c r="CJ205" s="178">
        <f>+AVERAGE(CF205:CI205)</f>
        <v>42.13</v>
      </c>
      <c r="CK205" s="146">
        <f>+CI205</f>
        <v>42.13</v>
      </c>
      <c r="CL205" s="146">
        <f>+CK205</f>
        <v>42.13</v>
      </c>
      <c r="CM205" s="146">
        <f>+CL205</f>
        <v>42.13</v>
      </c>
      <c r="CN205" s="146">
        <f>+CM205</f>
        <v>42.13</v>
      </c>
      <c r="CO205" s="178">
        <f>+AVERAGE(CK205:CN205)</f>
        <v>42.13</v>
      </c>
      <c r="CP205" s="146">
        <f>+CN205</f>
        <v>42.13</v>
      </c>
      <c r="CQ205" s="146">
        <f>+CP205</f>
        <v>42.13</v>
      </c>
      <c r="CR205" s="146">
        <f>+CQ205</f>
        <v>42.13</v>
      </c>
      <c r="CS205" s="146">
        <f>+CR205</f>
        <v>42.13</v>
      </c>
      <c r="CT205" s="178">
        <f>+AVERAGE(CP205:CS205)</f>
        <v>42.13</v>
      </c>
      <c r="CU205" s="146">
        <f>+CS205</f>
        <v>42.13</v>
      </c>
      <c r="CV205" s="146">
        <f>+CU205</f>
        <v>42.13</v>
      </c>
      <c r="CW205" s="146">
        <f>+CV205</f>
        <v>42.13</v>
      </c>
      <c r="CX205" s="146">
        <f>+CW205</f>
        <v>42.13</v>
      </c>
      <c r="CY205" s="178">
        <f>+AVERAGE(CU205:CX205)</f>
        <v>42.13</v>
      </c>
      <c r="CZ205" s="411"/>
      <c r="DA205" s="843"/>
      <c r="DB205" s="735"/>
      <c r="DC205" s="735"/>
      <c r="DD205" s="730"/>
      <c r="DF205" s="730"/>
      <c r="DG205" s="735"/>
      <c r="DH205" s="735"/>
      <c r="DI205" s="730"/>
      <c r="DJ205" s="730"/>
      <c r="DK205" s="730"/>
      <c r="DL205" s="730"/>
      <c r="DM205" s="730"/>
      <c r="DN205" s="730"/>
      <c r="DU205" s="418"/>
      <c r="DV205" s="418"/>
      <c r="DW205" s="730"/>
      <c r="DX205" s="730"/>
      <c r="DY205" s="730"/>
      <c r="DZ205" s="730"/>
      <c r="EA205" s="730"/>
    </row>
    <row r="206" spans="1:131" x14ac:dyDescent="0.2">
      <c r="A206" s="418" t="s">
        <v>281</v>
      </c>
      <c r="B206" s="420"/>
      <c r="C206" s="420"/>
      <c r="D206" s="245"/>
      <c r="E206" s="245"/>
      <c r="F206" s="245"/>
      <c r="G206" s="245"/>
      <c r="H206" s="247"/>
      <c r="I206" s="248"/>
      <c r="J206" s="259"/>
      <c r="K206" s="259"/>
      <c r="L206" s="259"/>
      <c r="M206" s="247"/>
      <c r="N206" s="259"/>
      <c r="O206" s="259"/>
      <c r="P206" s="259"/>
      <c r="Q206" s="259"/>
      <c r="R206" s="199"/>
      <c r="S206" s="259"/>
      <c r="T206" s="259"/>
      <c r="U206" s="259"/>
      <c r="V206" s="259"/>
      <c r="W206" s="247"/>
      <c r="X206" s="259"/>
      <c r="Y206" s="259"/>
      <c r="Z206" s="259"/>
      <c r="AA206" s="259"/>
      <c r="AB206" s="247"/>
      <c r="AC206" s="259"/>
      <c r="AD206" s="259"/>
      <c r="AE206" s="259"/>
      <c r="AF206" s="259"/>
      <c r="AG206" s="247"/>
      <c r="AH206" s="259"/>
      <c r="AI206" s="259"/>
      <c r="AJ206" s="259"/>
      <c r="AK206" s="259"/>
      <c r="AL206" s="247"/>
      <c r="AM206" s="259"/>
      <c r="AN206" s="259"/>
      <c r="AO206" s="259"/>
      <c r="AP206" s="259"/>
      <c r="AQ206" s="247"/>
      <c r="AR206" s="259"/>
      <c r="AS206" s="259"/>
      <c r="AT206" s="259"/>
      <c r="AU206" s="259"/>
      <c r="AV206" s="247"/>
      <c r="AW206" s="415"/>
      <c r="AX206" s="415"/>
      <c r="AY206" s="415"/>
      <c r="AZ206" s="415"/>
      <c r="BA206" s="247"/>
      <c r="BB206" s="290"/>
      <c r="BC206" s="259"/>
      <c r="BD206" s="259"/>
      <c r="BE206" s="259"/>
      <c r="BF206" s="247"/>
      <c r="BG206" s="259">
        <f>+BG204*BG205</f>
        <v>20.771505359999104</v>
      </c>
      <c r="BH206" s="259">
        <f>+BH204*BH205</f>
        <v>9.2794132200008228</v>
      </c>
      <c r="BI206" s="259">
        <f>+BI204*BI205</f>
        <v>13.650919299999609</v>
      </c>
      <c r="BJ206" s="259">
        <f>+BJ204*BJ205</f>
        <v>23.311178800000757</v>
      </c>
      <c r="BK206" s="247">
        <f>+SUM(BG206:BJ206)</f>
        <v>67.013016680000291</v>
      </c>
      <c r="BL206" s="259">
        <f>+BL204*BL205</f>
        <v>15.968945179999622</v>
      </c>
      <c r="BM206" s="259">
        <f>+BM204*BM205</f>
        <v>20.006867099999688</v>
      </c>
      <c r="BN206" s="259">
        <f>+BN204*BN205</f>
        <v>66.215190200000947</v>
      </c>
      <c r="BO206" s="259">
        <f>+BO204*BO205</f>
        <v>10.439753068985562</v>
      </c>
      <c r="BP206" s="247">
        <f>+SUM(BL206:BO206)</f>
        <v>112.63075554898583</v>
      </c>
      <c r="BQ206" s="259">
        <f>+BQ204*BQ205</f>
        <v>22.95123726035041</v>
      </c>
      <c r="BR206" s="259">
        <f>+BR204*BR205</f>
        <v>15.018575079999669</v>
      </c>
      <c r="BS206" s="259">
        <f>+BS204*BS205</f>
        <v>5.8120843000001639</v>
      </c>
      <c r="BT206" s="259">
        <f>+BT204*BT205</f>
        <v>16.748682879999986</v>
      </c>
      <c r="BU206" s="247">
        <f>+SUM(BQ206:BT206)</f>
        <v>60.53057952035023</v>
      </c>
      <c r="BV206" s="259">
        <f>+BV204*BV205</f>
        <v>11.112882360000025</v>
      </c>
      <c r="BW206" s="259">
        <f>+BW204*BW205</f>
        <v>7.4093123077557674</v>
      </c>
      <c r="BX206" s="259">
        <f>+BX204*BX205</f>
        <v>4.7160220599996734</v>
      </c>
      <c r="BY206" s="259">
        <f>+BY204*BY205</f>
        <v>15.273999999999999</v>
      </c>
      <c r="BZ206" s="247">
        <f>+SUM(BV206:BY206)</f>
        <v>38.512216727755465</v>
      </c>
      <c r="CA206" s="259">
        <f>+CA204*CA205</f>
        <v>21.456724740000048</v>
      </c>
      <c r="CB206" s="259">
        <f>+CB204*CB205</f>
        <v>14.30588118816455</v>
      </c>
      <c r="CC206" s="259">
        <f>+CC204*CC205</f>
        <v>9.1056832899993694</v>
      </c>
      <c r="CD206" s="259">
        <f>+CD204*CD205</f>
        <v>29.491</v>
      </c>
      <c r="CE206" s="247">
        <f>+SUM(CA206:CD206)</f>
        <v>74.359289218163966</v>
      </c>
      <c r="CF206" s="259">
        <f>+CF204*CF205</f>
        <v>21.456724740000048</v>
      </c>
      <c r="CG206" s="259">
        <f>+CG204*CG205</f>
        <v>14.30588118816455</v>
      </c>
      <c r="CH206" s="259">
        <f>+CH204*CH205</f>
        <v>9.1056832899993694</v>
      </c>
      <c r="CI206" s="259">
        <f>+CI204*CI205</f>
        <v>29.491</v>
      </c>
      <c r="CJ206" s="247">
        <f>+SUM(CF206:CI206)</f>
        <v>74.359289218163966</v>
      </c>
      <c r="CK206" s="259">
        <f>+CK204*CK205</f>
        <v>21.456724740000048</v>
      </c>
      <c r="CL206" s="259">
        <f>+CL204*CL205</f>
        <v>14.30588118816455</v>
      </c>
      <c r="CM206" s="259">
        <f>+CM204*CM205</f>
        <v>9.1056832899993694</v>
      </c>
      <c r="CN206" s="259">
        <f>+CN204*CN205</f>
        <v>29.491</v>
      </c>
      <c r="CO206" s="247">
        <f>+SUM(CK206:CN206)</f>
        <v>74.359289218163966</v>
      </c>
      <c r="CP206" s="259">
        <f>+CP204*CP205</f>
        <v>21.456724740000048</v>
      </c>
      <c r="CQ206" s="259">
        <f>+CQ204*CQ205</f>
        <v>14.30588118816455</v>
      </c>
      <c r="CR206" s="259">
        <f>+CR204*CR205</f>
        <v>9.1056832899993694</v>
      </c>
      <c r="CS206" s="259">
        <f>+CS204*CS205</f>
        <v>29.491</v>
      </c>
      <c r="CT206" s="247">
        <f>+SUM(CP206:CS206)</f>
        <v>74.359289218163966</v>
      </c>
      <c r="CU206" s="259">
        <f>+CU204*CU205</f>
        <v>21.456724740000048</v>
      </c>
      <c r="CV206" s="259">
        <f>+CV204*CV205</f>
        <v>14.30588118816455</v>
      </c>
      <c r="CW206" s="259">
        <f>+CW204*CW205</f>
        <v>9.1056832899993694</v>
      </c>
      <c r="CX206" s="259">
        <f>+CX204*CX205</f>
        <v>29.491</v>
      </c>
      <c r="CY206" s="247">
        <f>+SUM(CU206:CX206)</f>
        <v>74.359289218163966</v>
      </c>
      <c r="CZ206" s="249"/>
      <c r="DA206" s="843"/>
      <c r="DB206" s="753"/>
      <c r="DC206" s="753"/>
      <c r="DD206" s="420"/>
      <c r="DE206" s="725"/>
      <c r="DF206" s="420"/>
      <c r="DG206" s="753"/>
      <c r="DH206" s="753"/>
      <c r="DI206" s="420"/>
      <c r="DJ206" s="420"/>
      <c r="DK206" s="420"/>
      <c r="DL206" s="420"/>
      <c r="DM206" s="420"/>
      <c r="DN206" s="420"/>
      <c r="DU206" s="420"/>
      <c r="DV206" s="420"/>
      <c r="DW206" s="420"/>
      <c r="DX206" s="420"/>
      <c r="DY206" s="420"/>
      <c r="DZ206" s="420"/>
      <c r="EA206" s="420"/>
    </row>
    <row r="207" spans="1:131" ht="2.25" customHeight="1" x14ac:dyDescent="0.2">
      <c r="A207" s="418"/>
      <c r="B207" s="420"/>
      <c r="C207" s="420"/>
      <c r="D207" s="245"/>
      <c r="E207" s="245"/>
      <c r="F207" s="245"/>
      <c r="G207" s="245"/>
      <c r="H207" s="247"/>
      <c r="I207" s="248"/>
      <c r="J207" s="259"/>
      <c r="K207" s="259"/>
      <c r="L207" s="259"/>
      <c r="M207" s="247"/>
      <c r="N207" s="259"/>
      <c r="O207" s="259"/>
      <c r="P207" s="259"/>
      <c r="Q207" s="259"/>
      <c r="R207" s="199"/>
      <c r="S207" s="259"/>
      <c r="T207" s="259"/>
      <c r="U207" s="259"/>
      <c r="V207" s="259"/>
      <c r="W207" s="247"/>
      <c r="X207" s="259"/>
      <c r="Y207" s="259"/>
      <c r="Z207" s="259"/>
      <c r="AA207" s="259"/>
      <c r="AB207" s="247"/>
      <c r="AC207" s="259"/>
      <c r="AD207" s="259"/>
      <c r="AE207" s="259"/>
      <c r="AF207" s="259"/>
      <c r="AG207" s="247"/>
      <c r="AH207" s="259"/>
      <c r="AI207" s="259"/>
      <c r="AJ207" s="259"/>
      <c r="AK207" s="259"/>
      <c r="AL207" s="247"/>
      <c r="AM207" s="259"/>
      <c r="AN207" s="259"/>
      <c r="AO207" s="259"/>
      <c r="AP207" s="259"/>
      <c r="AQ207" s="247"/>
      <c r="AR207" s="259"/>
      <c r="AS207" s="259"/>
      <c r="AT207" s="259"/>
      <c r="AU207" s="259"/>
      <c r="AV207" s="247"/>
      <c r="AW207" s="415"/>
      <c r="AX207" s="415"/>
      <c r="AY207" s="415"/>
      <c r="AZ207" s="415"/>
      <c r="BA207" s="247"/>
      <c r="BB207" s="290"/>
      <c r="BC207" s="259"/>
      <c r="BD207" s="259"/>
      <c r="BE207" s="259"/>
      <c r="BF207" s="247"/>
      <c r="BG207" s="259"/>
      <c r="BH207" s="259"/>
      <c r="BI207" s="259"/>
      <c r="BJ207" s="259"/>
      <c r="BK207" s="247"/>
      <c r="BL207" s="259"/>
      <c r="BM207" s="259"/>
      <c r="BN207" s="259"/>
      <c r="BO207" s="259"/>
      <c r="BP207" s="247"/>
      <c r="BQ207" s="259"/>
      <c r="BR207" s="259"/>
      <c r="BS207" s="259"/>
      <c r="BT207" s="259"/>
      <c r="BU207" s="247"/>
      <c r="BV207" s="259"/>
      <c r="BW207" s="259"/>
      <c r="BX207" s="259"/>
      <c r="BY207" s="259"/>
      <c r="BZ207" s="247"/>
      <c r="CA207" s="259"/>
      <c r="CB207" s="259"/>
      <c r="CC207" s="259"/>
      <c r="CD207" s="259"/>
      <c r="CE207" s="247"/>
      <c r="CF207" s="259"/>
      <c r="CG207" s="259"/>
      <c r="CH207" s="259"/>
      <c r="CI207" s="259"/>
      <c r="CJ207" s="247"/>
      <c r="CK207" s="259"/>
      <c r="CL207" s="259"/>
      <c r="CM207" s="259"/>
      <c r="CN207" s="259"/>
      <c r="CO207" s="247"/>
      <c r="CP207" s="259"/>
      <c r="CQ207" s="259"/>
      <c r="CR207" s="259"/>
      <c r="CS207" s="259"/>
      <c r="CT207" s="247"/>
      <c r="CU207" s="259"/>
      <c r="CV207" s="259"/>
      <c r="CW207" s="259"/>
      <c r="CX207" s="259"/>
      <c r="CY207" s="247"/>
      <c r="CZ207" s="249"/>
      <c r="DA207" s="843"/>
      <c r="DB207" s="753"/>
      <c r="DC207" s="753"/>
      <c r="DD207" s="420"/>
      <c r="DE207" s="725"/>
      <c r="DF207" s="420"/>
      <c r="DG207" s="753"/>
      <c r="DH207" s="753"/>
      <c r="DI207" s="420"/>
      <c r="DJ207" s="420"/>
      <c r="DK207" s="420"/>
      <c r="DL207" s="420"/>
      <c r="DM207" s="420"/>
      <c r="DN207" s="420"/>
      <c r="DU207" s="420"/>
      <c r="DV207" s="420"/>
      <c r="DW207" s="420"/>
      <c r="DX207" s="420"/>
      <c r="DY207" s="420"/>
      <c r="DZ207" s="420"/>
      <c r="EA207" s="420"/>
    </row>
    <row r="208" spans="1:131" x14ac:dyDescent="0.2">
      <c r="A208" s="416" t="s">
        <v>282</v>
      </c>
      <c r="B208" s="420"/>
      <c r="C208" s="420"/>
      <c r="D208" s="245"/>
      <c r="E208" s="245"/>
      <c r="F208" s="245"/>
      <c r="G208" s="245"/>
      <c r="H208" s="247"/>
      <c r="I208" s="248"/>
      <c r="J208" s="259"/>
      <c r="K208" s="259"/>
      <c r="L208" s="259"/>
      <c r="M208" s="247"/>
      <c r="N208" s="259"/>
      <c r="O208" s="259"/>
      <c r="P208" s="259"/>
      <c r="Q208" s="259"/>
      <c r="R208" s="199"/>
      <c r="S208" s="259"/>
      <c r="T208" s="259"/>
      <c r="U208" s="259"/>
      <c r="V208" s="259"/>
      <c r="W208" s="247"/>
      <c r="X208" s="259"/>
      <c r="Y208" s="259"/>
      <c r="Z208" s="259"/>
      <c r="AA208" s="259"/>
      <c r="AB208" s="247"/>
      <c r="AC208" s="259"/>
      <c r="AD208" s="259"/>
      <c r="AE208" s="259"/>
      <c r="AF208" s="259"/>
      <c r="AG208" s="247"/>
      <c r="AH208" s="259"/>
      <c r="AI208" s="259"/>
      <c r="AJ208" s="259"/>
      <c r="AK208" s="259"/>
      <c r="AL208" s="247"/>
      <c r="AM208" s="259"/>
      <c r="AN208" s="259"/>
      <c r="AO208" s="259"/>
      <c r="AP208" s="259"/>
      <c r="AQ208" s="247"/>
      <c r="AR208" s="259"/>
      <c r="AS208" s="259"/>
      <c r="AT208" s="259"/>
      <c r="AU208" s="259"/>
      <c r="AV208" s="247"/>
      <c r="AW208" s="415"/>
      <c r="AX208" s="415"/>
      <c r="AY208" s="415"/>
      <c r="AZ208" s="415"/>
      <c r="BA208" s="247"/>
      <c r="BB208" s="290"/>
      <c r="BC208" s="259"/>
      <c r="BD208" s="259"/>
      <c r="BE208" s="259"/>
      <c r="BF208" s="247"/>
      <c r="BG208" s="259">
        <f ca="1">+BG206+BG202</f>
        <v>20.771505359999104</v>
      </c>
      <c r="BH208" s="259">
        <f ca="1">+BH206+BH202</f>
        <v>9.2794132200008228</v>
      </c>
      <c r="BI208" s="259">
        <f ca="1">+BI206+BI202</f>
        <v>13.650919299999609</v>
      </c>
      <c r="BJ208" s="259">
        <f ca="1">+BJ206+BJ202</f>
        <v>23.311178800000757</v>
      </c>
      <c r="BK208" s="247">
        <f t="shared" ref="BK208:BO208" si="303">+BK206+BK202</f>
        <v>67.013016680000291</v>
      </c>
      <c r="BL208" s="259">
        <f t="shared" si="303"/>
        <v>15.968945179999622</v>
      </c>
      <c r="BM208" s="259">
        <f t="shared" si="303"/>
        <v>20.006867099999688</v>
      </c>
      <c r="BN208" s="259">
        <f t="shared" si="303"/>
        <v>66.215190200000947</v>
      </c>
      <c r="BO208" s="259">
        <f t="shared" si="303"/>
        <v>-23.56024693101444</v>
      </c>
      <c r="BP208" s="247">
        <f t="shared" ref="BP208:CY208" si="304">+BP206+BP202</f>
        <v>78.630755548985832</v>
      </c>
      <c r="BQ208" s="259">
        <f>+BQ206+BQ202</f>
        <v>21.95123726035041</v>
      </c>
      <c r="BR208" s="259">
        <f>+BR206+BR202</f>
        <v>10.518575079999669</v>
      </c>
      <c r="BS208" s="259">
        <f>+BS206+BS202</f>
        <v>-361.28791569999987</v>
      </c>
      <c r="BT208" s="259">
        <f>+BT206+BT202</f>
        <v>-733.35131712000009</v>
      </c>
      <c r="BU208" s="247">
        <f t="shared" si="304"/>
        <v>-1062.1694204796497</v>
      </c>
      <c r="BV208" s="259">
        <f t="shared" si="304"/>
        <v>11.112882360000025</v>
      </c>
      <c r="BW208" s="259">
        <f>+BW206+BW202</f>
        <v>-6.8906876922442333</v>
      </c>
      <c r="BX208" s="259">
        <f>+BX206+BX202</f>
        <v>-220.18397794000032</v>
      </c>
      <c r="BY208" s="259">
        <f>+BY206+BY202</f>
        <v>-784.02600000000007</v>
      </c>
      <c r="BZ208" s="247">
        <f>+BZ206+BZ202</f>
        <v>-999.98778327224454</v>
      </c>
      <c r="CA208" s="259">
        <f t="shared" si="304"/>
        <v>-303.54327525999997</v>
      </c>
      <c r="CB208" s="259">
        <f t="shared" si="304"/>
        <v>-310.69411881183544</v>
      </c>
      <c r="CC208" s="259">
        <f t="shared" si="304"/>
        <v>-315.89431671000062</v>
      </c>
      <c r="CD208" s="259">
        <f t="shared" si="304"/>
        <v>-295.50900000000001</v>
      </c>
      <c r="CE208" s="247">
        <f>+CE206+CE202</f>
        <v>-1225.6407107818361</v>
      </c>
      <c r="CF208" s="259">
        <f t="shared" si="304"/>
        <v>-478.54327525999997</v>
      </c>
      <c r="CG208" s="259">
        <f t="shared" si="304"/>
        <v>-485.69411881183544</v>
      </c>
      <c r="CH208" s="259">
        <f t="shared" si="304"/>
        <v>-490.89431671000062</v>
      </c>
      <c r="CI208" s="259">
        <f t="shared" si="304"/>
        <v>-470.50900000000001</v>
      </c>
      <c r="CJ208" s="247">
        <f t="shared" si="304"/>
        <v>-1925.6407107818361</v>
      </c>
      <c r="CK208" s="259">
        <f t="shared" si="304"/>
        <v>-478.54327525999997</v>
      </c>
      <c r="CL208" s="259">
        <f t="shared" si="304"/>
        <v>-485.69411881183544</v>
      </c>
      <c r="CM208" s="259">
        <f t="shared" si="304"/>
        <v>-490.89431671000062</v>
      </c>
      <c r="CN208" s="259">
        <f t="shared" si="304"/>
        <v>-470.50900000000001</v>
      </c>
      <c r="CO208" s="247">
        <f t="shared" si="304"/>
        <v>-1925.6407107818361</v>
      </c>
      <c r="CP208" s="259">
        <f t="shared" si="304"/>
        <v>-478.54327525999997</v>
      </c>
      <c r="CQ208" s="259">
        <f t="shared" si="304"/>
        <v>-485.69411881183544</v>
      </c>
      <c r="CR208" s="259">
        <f t="shared" si="304"/>
        <v>-490.89431671000062</v>
      </c>
      <c r="CS208" s="259">
        <f t="shared" si="304"/>
        <v>-470.50900000000001</v>
      </c>
      <c r="CT208" s="247">
        <f t="shared" si="304"/>
        <v>-1925.6407107818361</v>
      </c>
      <c r="CU208" s="259">
        <f t="shared" si="304"/>
        <v>-478.54327525999997</v>
      </c>
      <c r="CV208" s="259">
        <f t="shared" si="304"/>
        <v>-485.69411881183544</v>
      </c>
      <c r="CW208" s="259">
        <f t="shared" si="304"/>
        <v>-490.89431671000062</v>
      </c>
      <c r="CX208" s="259">
        <f t="shared" si="304"/>
        <v>-470.50900000000001</v>
      </c>
      <c r="CY208" s="247">
        <f t="shared" si="304"/>
        <v>-1925.6407107818361</v>
      </c>
      <c r="CZ208" s="249"/>
      <c r="DA208" s="843"/>
      <c r="DB208" s="753"/>
      <c r="DC208" s="753"/>
      <c r="DD208" s="420"/>
      <c r="DE208" s="725"/>
      <c r="DF208" s="420"/>
      <c r="DG208" s="753"/>
      <c r="DH208" s="753"/>
      <c r="DI208" s="420"/>
      <c r="DJ208" s="420"/>
      <c r="DK208" s="420"/>
      <c r="DL208" s="420"/>
      <c r="DM208" s="420"/>
      <c r="DN208" s="420"/>
      <c r="DU208" s="420"/>
      <c r="DV208" s="420"/>
      <c r="DW208" s="420"/>
      <c r="DX208" s="420"/>
      <c r="DY208" s="420"/>
      <c r="DZ208" s="420"/>
      <c r="EA208" s="420"/>
    </row>
    <row r="209" spans="1:131" ht="7.5" customHeight="1" x14ac:dyDescent="0.2">
      <c r="A209" s="425"/>
      <c r="B209" s="420"/>
      <c r="C209" s="420"/>
      <c r="D209" s="245"/>
      <c r="E209" s="245"/>
      <c r="F209" s="245"/>
      <c r="G209" s="245"/>
      <c r="H209" s="247"/>
      <c r="I209" s="248"/>
      <c r="J209" s="259"/>
      <c r="K209" s="259"/>
      <c r="L209" s="259"/>
      <c r="M209" s="247"/>
      <c r="N209" s="259"/>
      <c r="O209" s="259"/>
      <c r="P209" s="259"/>
      <c r="Q209" s="259"/>
      <c r="R209" s="199"/>
      <c r="S209" s="259"/>
      <c r="T209" s="259"/>
      <c r="U209" s="259"/>
      <c r="V209" s="259"/>
      <c r="W209" s="247"/>
      <c r="X209" s="259"/>
      <c r="Y209" s="259"/>
      <c r="Z209" s="259"/>
      <c r="AA209" s="259"/>
      <c r="AB209" s="247"/>
      <c r="AC209" s="259"/>
      <c r="AD209" s="259"/>
      <c r="AE209" s="259"/>
      <c r="AF209" s="259"/>
      <c r="AG209" s="247"/>
      <c r="AH209" s="259"/>
      <c r="AI209" s="259"/>
      <c r="AJ209" s="259"/>
      <c r="AK209" s="259"/>
      <c r="AL209" s="247"/>
      <c r="AM209" s="259"/>
      <c r="AN209" s="259"/>
      <c r="AO209" s="259"/>
      <c r="AP209" s="259"/>
      <c r="AQ209" s="247"/>
      <c r="AR209" s="259"/>
      <c r="AS209" s="259"/>
      <c r="AT209" s="259"/>
      <c r="AU209" s="259"/>
      <c r="AV209" s="247"/>
      <c r="AW209" s="415"/>
      <c r="AX209" s="415"/>
      <c r="AY209" s="415"/>
      <c r="AZ209" s="415"/>
      <c r="BA209" s="247"/>
      <c r="BB209" s="290"/>
      <c r="BC209" s="259"/>
      <c r="BD209" s="259"/>
      <c r="BE209" s="259"/>
      <c r="BF209" s="247"/>
      <c r="BG209" s="259"/>
      <c r="BH209" s="259"/>
      <c r="BI209" s="259"/>
      <c r="BJ209" s="259"/>
      <c r="BK209" s="247"/>
      <c r="BL209" s="259"/>
      <c r="BM209" s="259"/>
      <c r="BN209" s="259"/>
      <c r="BO209" s="259"/>
      <c r="BP209" s="247"/>
      <c r="BQ209" s="259"/>
      <c r="BR209" s="259"/>
      <c r="BS209" s="259"/>
      <c r="BT209" s="259"/>
      <c r="BU209" s="247"/>
      <c r="BV209" s="259"/>
      <c r="BW209" s="259"/>
      <c r="BX209" s="259"/>
      <c r="BY209" s="259"/>
      <c r="BZ209" s="247"/>
      <c r="CA209" s="259"/>
      <c r="CB209" s="259"/>
      <c r="CC209" s="259"/>
      <c r="CD209" s="259"/>
      <c r="CE209" s="247"/>
      <c r="CF209" s="259"/>
      <c r="CG209" s="259"/>
      <c r="CH209" s="259"/>
      <c r="CI209" s="259"/>
      <c r="CJ209" s="247"/>
      <c r="CK209" s="259"/>
      <c r="CL209" s="259"/>
      <c r="CM209" s="259"/>
      <c r="CN209" s="259"/>
      <c r="CO209" s="247"/>
      <c r="CP209" s="259"/>
      <c r="CQ209" s="259"/>
      <c r="CR209" s="259"/>
      <c r="CS209" s="259"/>
      <c r="CT209" s="247"/>
      <c r="CU209" s="412"/>
      <c r="CV209" s="412"/>
      <c r="CW209" s="412"/>
      <c r="CX209" s="412"/>
      <c r="CY209" s="141"/>
      <c r="CZ209" s="249"/>
      <c r="DA209" s="843"/>
      <c r="DB209" s="753"/>
      <c r="DC209" s="753"/>
      <c r="DD209" s="420"/>
      <c r="DE209" s="725"/>
      <c r="DF209" s="420"/>
      <c r="DG209" s="753"/>
      <c r="DH209" s="753"/>
      <c r="DI209" s="420"/>
      <c r="DJ209" s="420"/>
      <c r="DK209" s="420"/>
      <c r="DL209" s="420"/>
      <c r="DM209" s="420"/>
      <c r="DN209" s="420"/>
      <c r="DU209" s="420"/>
      <c r="DV209" s="420"/>
      <c r="DW209" s="420"/>
      <c r="DX209" s="420"/>
      <c r="DY209" s="420"/>
      <c r="DZ209" s="420"/>
      <c r="EA209" s="420"/>
    </row>
    <row r="210" spans="1:131" x14ac:dyDescent="0.2">
      <c r="A210" s="420" t="s">
        <v>193</v>
      </c>
      <c r="B210" s="420"/>
      <c r="C210" s="417"/>
      <c r="D210" s="245"/>
      <c r="E210" s="245"/>
      <c r="F210" s="245"/>
      <c r="G210" s="245"/>
      <c r="H210" s="263">
        <f t="shared" ref="H210:AM210" si="305">H105+H106+H111</f>
        <v>2047.89</v>
      </c>
      <c r="I210" s="248">
        <f t="shared" si="305"/>
        <v>2088.6379999999999</v>
      </c>
      <c r="J210" s="248">
        <f t="shared" si="305"/>
        <v>1993.527</v>
      </c>
      <c r="K210" s="248">
        <f t="shared" si="305"/>
        <v>2028.5809999999999</v>
      </c>
      <c r="L210" s="248">
        <f t="shared" si="305"/>
        <v>3289.2759999999998</v>
      </c>
      <c r="M210" s="263">
        <f t="shared" si="305"/>
        <v>3289.2759999999998</v>
      </c>
      <c r="N210" s="248">
        <f t="shared" si="305"/>
        <v>3099.2869999999998</v>
      </c>
      <c r="O210" s="248">
        <f t="shared" si="305"/>
        <v>2989.3340000000003</v>
      </c>
      <c r="P210" s="248">
        <f t="shared" si="305"/>
        <v>2945.2049999999999</v>
      </c>
      <c r="Q210" s="248">
        <f t="shared" si="305"/>
        <v>2809.7270000000003</v>
      </c>
      <c r="R210" s="263">
        <f t="shared" si="305"/>
        <v>2809.7270000000003</v>
      </c>
      <c r="S210" s="248">
        <f t="shared" si="305"/>
        <v>2860.4</v>
      </c>
      <c r="T210" s="248">
        <f t="shared" si="305"/>
        <v>4316.3999999999996</v>
      </c>
      <c r="U210" s="248">
        <f t="shared" si="305"/>
        <v>4325.8999999999996</v>
      </c>
      <c r="V210" s="248">
        <f t="shared" si="305"/>
        <v>4185.5</v>
      </c>
      <c r="W210" s="247">
        <f t="shared" si="305"/>
        <v>4185.5</v>
      </c>
      <c r="X210" s="246">
        <f t="shared" si="305"/>
        <v>4986.9000000000005</v>
      </c>
      <c r="Y210" s="246">
        <f t="shared" si="305"/>
        <v>4749</v>
      </c>
      <c r="Z210" s="246">
        <f t="shared" si="305"/>
        <v>4703.8</v>
      </c>
      <c r="AA210" s="248">
        <f t="shared" si="305"/>
        <v>5257.5</v>
      </c>
      <c r="AB210" s="247">
        <f t="shared" si="305"/>
        <v>5257.5</v>
      </c>
      <c r="AC210" s="246">
        <f t="shared" si="305"/>
        <v>5292.9000000000005</v>
      </c>
      <c r="AD210" s="246">
        <f t="shared" si="305"/>
        <v>4837.8</v>
      </c>
      <c r="AE210" s="246">
        <f t="shared" si="305"/>
        <v>4782</v>
      </c>
      <c r="AF210" s="248">
        <f t="shared" si="305"/>
        <v>4433.6000000000004</v>
      </c>
      <c r="AG210" s="247">
        <f t="shared" si="305"/>
        <v>4433.6000000000004</v>
      </c>
      <c r="AH210" s="246">
        <f t="shared" si="305"/>
        <v>4321.8</v>
      </c>
      <c r="AI210" s="246">
        <f t="shared" si="305"/>
        <v>4164.1000000000004</v>
      </c>
      <c r="AJ210" s="248">
        <f t="shared" si="305"/>
        <v>4097.2</v>
      </c>
      <c r="AK210" s="248">
        <f t="shared" si="305"/>
        <v>3835.5</v>
      </c>
      <c r="AL210" s="247">
        <f t="shared" si="305"/>
        <v>3835.4999999999991</v>
      </c>
      <c r="AM210" s="248">
        <f t="shared" si="305"/>
        <v>4017.8</v>
      </c>
      <c r="AN210" s="248">
        <f t="shared" ref="AN210:BR210" si="306">AN105+AN106+AN111</f>
        <v>3783.3999999999996</v>
      </c>
      <c r="AO210" s="248">
        <f t="shared" si="306"/>
        <v>3726.6</v>
      </c>
      <c r="AP210" s="248">
        <f t="shared" si="306"/>
        <v>3236.2999999999997</v>
      </c>
      <c r="AQ210" s="247">
        <f t="shared" si="306"/>
        <v>3236.2999999999997</v>
      </c>
      <c r="AR210" s="248">
        <f t="shared" si="306"/>
        <v>2992.4</v>
      </c>
      <c r="AS210" s="248">
        <f t="shared" si="306"/>
        <v>2946.3999999999996</v>
      </c>
      <c r="AT210" s="248">
        <f t="shared" si="306"/>
        <v>3104.6000000000004</v>
      </c>
      <c r="AU210" s="248">
        <f t="shared" si="306"/>
        <v>3129.5</v>
      </c>
      <c r="AV210" s="247">
        <f t="shared" si="306"/>
        <v>3129.5000000000009</v>
      </c>
      <c r="AW210" s="248">
        <f t="shared" si="306"/>
        <v>3421</v>
      </c>
      <c r="AX210" s="248">
        <f t="shared" si="306"/>
        <v>3987.7</v>
      </c>
      <c r="AY210" s="248">
        <f t="shared" si="306"/>
        <v>3995.4</v>
      </c>
      <c r="AZ210" s="248">
        <f t="shared" si="306"/>
        <v>3305.4</v>
      </c>
      <c r="BA210" s="247">
        <f t="shared" si="306"/>
        <v>3305.4</v>
      </c>
      <c r="BB210" s="248">
        <f t="shared" si="306"/>
        <v>5072</v>
      </c>
      <c r="BC210" s="248">
        <f t="shared" si="306"/>
        <v>7300.5</v>
      </c>
      <c r="BD210" s="248">
        <f t="shared" si="306"/>
        <v>7134.6</v>
      </c>
      <c r="BE210" s="248">
        <f t="shared" si="306"/>
        <v>7020.5</v>
      </c>
      <c r="BF210" s="247">
        <f t="shared" si="306"/>
        <v>7020.4999999999991</v>
      </c>
      <c r="BG210" s="248">
        <f t="shared" si="306"/>
        <v>7195.2000000000007</v>
      </c>
      <c r="BH210" s="248">
        <f t="shared" si="306"/>
        <v>7191.9</v>
      </c>
      <c r="BI210" s="248">
        <f t="shared" si="306"/>
        <v>7318.8</v>
      </c>
      <c r="BJ210" s="248">
        <f t="shared" si="306"/>
        <v>7348</v>
      </c>
      <c r="BK210" s="247">
        <f t="shared" si="306"/>
        <v>7348.0000000000018</v>
      </c>
      <c r="BL210" s="248">
        <f>BL105+BL106+BL111</f>
        <v>7317.5999999999995</v>
      </c>
      <c r="BM210" s="248">
        <f t="shared" si="306"/>
        <v>7423.5999999999995</v>
      </c>
      <c r="BN210" s="248">
        <f t="shared" si="306"/>
        <v>7403</v>
      </c>
      <c r="BO210" s="248">
        <f t="shared" si="306"/>
        <v>8081.2</v>
      </c>
      <c r="BP210" s="247">
        <f t="shared" si="306"/>
        <v>8081.1999999999989</v>
      </c>
      <c r="BQ210" s="248">
        <f>BQ105+BQ106+BQ111</f>
        <v>8308.2000000000007</v>
      </c>
      <c r="BR210" s="248">
        <f t="shared" si="306"/>
        <v>8029</v>
      </c>
      <c r="BS210" s="248">
        <f>BS105+BS106+BS111</f>
        <v>8631.6</v>
      </c>
      <c r="BT210" s="248">
        <f>BT105+BT106+BT111</f>
        <v>9238.1</v>
      </c>
      <c r="BU210" s="247">
        <f t="shared" ref="BU210" si="307">BU105+BU106+BU111</f>
        <v>9238.1</v>
      </c>
      <c r="BV210" s="248">
        <f t="shared" ref="BV210:BX210" si="308">BV105+BV106+BV111</f>
        <v>9211.5</v>
      </c>
      <c r="BW210" s="248">
        <f t="shared" si="308"/>
        <v>8947.4</v>
      </c>
      <c r="BX210" s="248">
        <f t="shared" si="308"/>
        <v>9350.2000000000007</v>
      </c>
      <c r="BY210" s="248">
        <f t="shared" ref="BY210:CY210" si="309">BY105+BY106+BY111</f>
        <v>10186.700000000001</v>
      </c>
      <c r="BZ210" s="247">
        <f t="shared" si="309"/>
        <v>10186.700000000003</v>
      </c>
      <c r="CA210" s="248">
        <f t="shared" ca="1" si="309"/>
        <v>10296.529055872425</v>
      </c>
      <c r="CB210" s="248">
        <f t="shared" ca="1" si="309"/>
        <v>10298.259441177112</v>
      </c>
      <c r="CC210" s="248">
        <f t="shared" ca="1" si="309"/>
        <v>10458.687716935534</v>
      </c>
      <c r="CD210" s="248">
        <f t="shared" ca="1" si="309"/>
        <v>10668.165393273533</v>
      </c>
      <c r="CE210" s="247">
        <f t="shared" ca="1" si="309"/>
        <v>10668.165393273533</v>
      </c>
      <c r="CF210" s="248">
        <f t="shared" ca="1" si="309"/>
        <v>10805.609173256378</v>
      </c>
      <c r="CG210" s="248">
        <f t="shared" ca="1" si="309"/>
        <v>10860.444714122894</v>
      </c>
      <c r="CH210" s="248">
        <f t="shared" ca="1" si="309"/>
        <v>11099.974536933018</v>
      </c>
      <c r="CI210" s="248">
        <f t="shared" ca="1" si="309"/>
        <v>11400.655948944897</v>
      </c>
      <c r="CJ210" s="247">
        <f t="shared" ca="1" si="309"/>
        <v>11400.655948944897</v>
      </c>
      <c r="CK210" s="248">
        <f t="shared" ca="1" si="309"/>
        <v>11421.826741935756</v>
      </c>
      <c r="CL210" s="248">
        <f t="shared" ca="1" si="309"/>
        <v>11328.441133451388</v>
      </c>
      <c r="CM210" s="248">
        <f t="shared" ca="1" si="309"/>
        <v>11446.340979591825</v>
      </c>
      <c r="CN210" s="248">
        <f t="shared" ca="1" si="309"/>
        <v>11635.008215758611</v>
      </c>
      <c r="CO210" s="247">
        <f t="shared" ca="1" si="309"/>
        <v>11635.008215758611</v>
      </c>
      <c r="CP210" s="248">
        <f t="shared" ca="1" si="309"/>
        <v>11593.53200589972</v>
      </c>
      <c r="CQ210" s="248">
        <f t="shared" ca="1" si="309"/>
        <v>11394.284726332722</v>
      </c>
      <c r="CR210" s="248">
        <f t="shared" ca="1" si="309"/>
        <v>11424.271252774002</v>
      </c>
      <c r="CS210" s="248">
        <f t="shared" ca="1" si="309"/>
        <v>11537.238879762102</v>
      </c>
      <c r="CT210" s="247">
        <f t="shared" ca="1" si="309"/>
        <v>11537.238879762102</v>
      </c>
      <c r="CU210" s="248">
        <f t="shared" ca="1" si="309"/>
        <v>11474.434279171965</v>
      </c>
      <c r="CV210" s="248">
        <f t="shared" ca="1" si="309"/>
        <v>11250.061109496679</v>
      </c>
      <c r="CW210" s="248">
        <f t="shared" ca="1" si="309"/>
        <v>11261.874144636191</v>
      </c>
      <c r="CX210" s="248">
        <f t="shared" ca="1" si="309"/>
        <v>11365.614726894202</v>
      </c>
      <c r="CY210" s="141">
        <f t="shared" ca="1" si="309"/>
        <v>11365.614726894202</v>
      </c>
      <c r="CZ210" s="249"/>
      <c r="DA210" s="843"/>
      <c r="DB210" s="753"/>
      <c r="DC210" s="753"/>
      <c r="DD210" s="420"/>
      <c r="DE210" s="725"/>
      <c r="DF210" s="420"/>
      <c r="DG210" s="753"/>
      <c r="DH210" s="753"/>
      <c r="DI210" s="420"/>
      <c r="DJ210" s="420"/>
      <c r="DK210" s="420"/>
      <c r="DL210" s="420"/>
      <c r="DM210" s="420"/>
      <c r="DN210" s="420"/>
      <c r="DU210" s="420"/>
      <c r="DV210" s="420"/>
      <c r="DW210" s="420"/>
      <c r="DX210" s="420"/>
      <c r="DY210" s="420"/>
      <c r="DZ210" s="420"/>
      <c r="EA210" s="420"/>
    </row>
    <row r="211" spans="1:131" x14ac:dyDescent="0.2">
      <c r="A211" s="250" t="s">
        <v>194</v>
      </c>
      <c r="B211" s="250"/>
      <c r="C211" s="244"/>
      <c r="D211" s="245"/>
      <c r="E211" s="245"/>
      <c r="F211" s="245"/>
      <c r="G211" s="245"/>
      <c r="H211" s="263">
        <f t="shared" ref="H211:AM211" si="310">+H93+H92</f>
        <v>37.136000000000003</v>
      </c>
      <c r="I211" s="248">
        <f t="shared" si="310"/>
        <v>11.443</v>
      </c>
      <c r="J211" s="248">
        <f t="shared" si="310"/>
        <v>9.7680000000000007</v>
      </c>
      <c r="K211" s="248">
        <f t="shared" si="310"/>
        <v>12.754</v>
      </c>
      <c r="L211" s="248">
        <f t="shared" si="310"/>
        <v>17.635000000000002</v>
      </c>
      <c r="M211" s="263">
        <f t="shared" si="310"/>
        <v>17.635000000000002</v>
      </c>
      <c r="N211" s="248">
        <f t="shared" si="310"/>
        <v>19.184000000000001</v>
      </c>
      <c r="O211" s="248">
        <f t="shared" si="310"/>
        <v>18.667000000000002</v>
      </c>
      <c r="P211" s="248">
        <f t="shared" si="310"/>
        <v>26.373999999999999</v>
      </c>
      <c r="Q211" s="248">
        <f t="shared" si="310"/>
        <v>10.878</v>
      </c>
      <c r="R211" s="263">
        <f t="shared" si="310"/>
        <v>10.878</v>
      </c>
      <c r="S211" s="248">
        <f t="shared" si="310"/>
        <v>37.5</v>
      </c>
      <c r="T211" s="248">
        <f t="shared" si="310"/>
        <v>42.2</v>
      </c>
      <c r="U211" s="248">
        <f t="shared" si="310"/>
        <v>34.700000000000003</v>
      </c>
      <c r="V211" s="248">
        <f t="shared" si="310"/>
        <v>33.5</v>
      </c>
      <c r="W211" s="247">
        <f t="shared" si="310"/>
        <v>33.5</v>
      </c>
      <c r="X211" s="246">
        <f t="shared" si="310"/>
        <v>33.5</v>
      </c>
      <c r="Y211" s="246">
        <f t="shared" si="310"/>
        <v>33.200000000000003</v>
      </c>
      <c r="Z211" s="246">
        <f t="shared" si="310"/>
        <v>24.9</v>
      </c>
      <c r="AA211" s="248">
        <f t="shared" si="310"/>
        <v>20.5</v>
      </c>
      <c r="AB211" s="247">
        <f t="shared" si="310"/>
        <v>20.5</v>
      </c>
      <c r="AC211" s="246">
        <f t="shared" si="310"/>
        <v>25.2</v>
      </c>
      <c r="AD211" s="246">
        <f t="shared" si="310"/>
        <v>24.9</v>
      </c>
      <c r="AE211" s="246">
        <f t="shared" si="310"/>
        <v>181.3</v>
      </c>
      <c r="AF211" s="248">
        <f t="shared" si="310"/>
        <v>13.1</v>
      </c>
      <c r="AG211" s="247">
        <f t="shared" si="310"/>
        <v>13.1</v>
      </c>
      <c r="AH211" s="246">
        <f t="shared" si="310"/>
        <v>16.8</v>
      </c>
      <c r="AI211" s="246">
        <f t="shared" si="310"/>
        <v>19.7</v>
      </c>
      <c r="AJ211" s="248">
        <f t="shared" si="310"/>
        <v>50.3</v>
      </c>
      <c r="AK211" s="248">
        <f t="shared" si="310"/>
        <v>43.5</v>
      </c>
      <c r="AL211" s="247">
        <f t="shared" si="310"/>
        <v>43.5</v>
      </c>
      <c r="AM211" s="248">
        <f t="shared" si="310"/>
        <v>20.9</v>
      </c>
      <c r="AN211" s="248">
        <f t="shared" ref="AN211:BP211" si="311">+AN93+AN92</f>
        <v>13.9</v>
      </c>
      <c r="AO211" s="248">
        <f t="shared" si="311"/>
        <v>16</v>
      </c>
      <c r="AP211" s="248">
        <f t="shared" si="311"/>
        <v>9.1999999999999993</v>
      </c>
      <c r="AQ211" s="247">
        <f t="shared" si="311"/>
        <v>9.1999999999999993</v>
      </c>
      <c r="AR211" s="248">
        <f t="shared" si="311"/>
        <v>13.4</v>
      </c>
      <c r="AS211" s="248">
        <f t="shared" si="311"/>
        <v>10</v>
      </c>
      <c r="AT211" s="248">
        <f t="shared" si="311"/>
        <v>55.8</v>
      </c>
      <c r="AU211" s="248">
        <f t="shared" si="311"/>
        <v>85.8</v>
      </c>
      <c r="AV211" s="247">
        <f t="shared" si="311"/>
        <v>85.8</v>
      </c>
      <c r="AW211" s="248">
        <f t="shared" si="311"/>
        <v>69.099999999999994</v>
      </c>
      <c r="AX211" s="248">
        <f t="shared" si="311"/>
        <v>178.5</v>
      </c>
      <c r="AY211" s="248">
        <f t="shared" si="311"/>
        <v>200.5</v>
      </c>
      <c r="AZ211" s="248">
        <f t="shared" si="311"/>
        <v>331.5</v>
      </c>
      <c r="BA211" s="247">
        <f t="shared" si="311"/>
        <v>331.5</v>
      </c>
      <c r="BB211" s="248">
        <f t="shared" si="311"/>
        <v>609.29999999999995</v>
      </c>
      <c r="BC211" s="248">
        <f t="shared" si="311"/>
        <v>116.8</v>
      </c>
      <c r="BD211" s="248">
        <f t="shared" si="311"/>
        <v>65.2</v>
      </c>
      <c r="BE211" s="248">
        <f t="shared" si="311"/>
        <v>63.9</v>
      </c>
      <c r="BF211" s="247">
        <f t="shared" si="311"/>
        <v>63.9</v>
      </c>
      <c r="BG211" s="248">
        <f t="shared" si="311"/>
        <v>378</v>
      </c>
      <c r="BH211" s="248">
        <f t="shared" si="311"/>
        <v>104.3</v>
      </c>
      <c r="BI211" s="248">
        <f t="shared" si="311"/>
        <v>67.3</v>
      </c>
      <c r="BJ211" s="248">
        <f t="shared" si="311"/>
        <v>110.1</v>
      </c>
      <c r="BK211" s="247">
        <f t="shared" si="311"/>
        <v>110.1</v>
      </c>
      <c r="BL211" s="248">
        <f>+BL93+BL92</f>
        <v>130.69999999999999</v>
      </c>
      <c r="BM211" s="248">
        <f t="shared" si="311"/>
        <v>329.7</v>
      </c>
      <c r="BN211" s="248">
        <f t="shared" si="311"/>
        <v>491.3</v>
      </c>
      <c r="BO211" s="248">
        <f t="shared" si="311"/>
        <v>83.1</v>
      </c>
      <c r="BP211" s="247">
        <f t="shared" si="311"/>
        <v>83.1</v>
      </c>
      <c r="BQ211" s="248">
        <f>+BQ93+BQ92</f>
        <v>167.3</v>
      </c>
      <c r="BR211" s="248">
        <f>+BR93+BR92</f>
        <v>177.3</v>
      </c>
      <c r="BS211" s="248">
        <f>+BS93+BS92</f>
        <v>197.3</v>
      </c>
      <c r="BT211" s="248">
        <f>+BT93+BT92</f>
        <v>177.4</v>
      </c>
      <c r="BU211" s="247">
        <f>+BU93+BU92</f>
        <v>177.4</v>
      </c>
      <c r="BV211" s="248">
        <f t="shared" ref="BV211:BX211" si="312">+BV93+BV92</f>
        <v>199.1</v>
      </c>
      <c r="BW211" s="248">
        <f t="shared" si="312"/>
        <v>125.6</v>
      </c>
      <c r="BX211" s="248">
        <f t="shared" si="312"/>
        <v>154.5</v>
      </c>
      <c r="BY211" s="248">
        <f t="shared" ref="BY211:CY211" si="313">+BY93+BY92</f>
        <v>90.3</v>
      </c>
      <c r="BZ211" s="247">
        <f t="shared" si="313"/>
        <v>90.3</v>
      </c>
      <c r="CA211" s="248">
        <f t="shared" ca="1" si="313"/>
        <v>90.3</v>
      </c>
      <c r="CB211" s="248">
        <f t="shared" ca="1" si="313"/>
        <v>90.3</v>
      </c>
      <c r="CC211" s="248">
        <f t="shared" ca="1" si="313"/>
        <v>90.3</v>
      </c>
      <c r="CD211" s="248">
        <f t="shared" ca="1" si="313"/>
        <v>90.3</v>
      </c>
      <c r="CE211" s="247">
        <f t="shared" ca="1" si="313"/>
        <v>90.3</v>
      </c>
      <c r="CF211" s="248">
        <f t="shared" ca="1" si="313"/>
        <v>90.3</v>
      </c>
      <c r="CG211" s="248">
        <f t="shared" ca="1" si="313"/>
        <v>90.3</v>
      </c>
      <c r="CH211" s="248">
        <f t="shared" ca="1" si="313"/>
        <v>90.3</v>
      </c>
      <c r="CI211" s="248">
        <f t="shared" ca="1" si="313"/>
        <v>90.3</v>
      </c>
      <c r="CJ211" s="247">
        <f t="shared" ca="1" si="313"/>
        <v>90.3</v>
      </c>
      <c r="CK211" s="248">
        <f t="shared" ca="1" si="313"/>
        <v>90.3</v>
      </c>
      <c r="CL211" s="248">
        <f t="shared" ca="1" si="313"/>
        <v>90.3</v>
      </c>
      <c r="CM211" s="248">
        <f t="shared" ca="1" si="313"/>
        <v>90.3</v>
      </c>
      <c r="CN211" s="248">
        <f t="shared" ca="1" si="313"/>
        <v>90.3</v>
      </c>
      <c r="CO211" s="247">
        <f t="shared" ca="1" si="313"/>
        <v>90.3</v>
      </c>
      <c r="CP211" s="248">
        <f t="shared" ca="1" si="313"/>
        <v>90.3</v>
      </c>
      <c r="CQ211" s="248">
        <f t="shared" ca="1" si="313"/>
        <v>90.3</v>
      </c>
      <c r="CR211" s="248">
        <f t="shared" ca="1" si="313"/>
        <v>90.3</v>
      </c>
      <c r="CS211" s="248">
        <f t="shared" ca="1" si="313"/>
        <v>90.3</v>
      </c>
      <c r="CT211" s="247">
        <f t="shared" ca="1" si="313"/>
        <v>90.3</v>
      </c>
      <c r="CU211" s="248">
        <f t="shared" ca="1" si="313"/>
        <v>90.3</v>
      </c>
      <c r="CV211" s="248">
        <f t="shared" ca="1" si="313"/>
        <v>90.3</v>
      </c>
      <c r="CW211" s="248">
        <f t="shared" ca="1" si="313"/>
        <v>90.3</v>
      </c>
      <c r="CX211" s="248">
        <f t="shared" ca="1" si="313"/>
        <v>90.3</v>
      </c>
      <c r="CY211" s="247">
        <f t="shared" ca="1" si="313"/>
        <v>90.3</v>
      </c>
      <c r="CZ211" s="249"/>
      <c r="DA211" s="843"/>
      <c r="DB211" s="753"/>
      <c r="DC211" s="753"/>
      <c r="DD211" s="420"/>
      <c r="DE211" s="725"/>
      <c r="DF211" s="420"/>
      <c r="DG211" s="753"/>
      <c r="DH211" s="753"/>
      <c r="DI211" s="420"/>
      <c r="DJ211" s="420"/>
      <c r="DK211" s="420"/>
      <c r="DL211" s="420"/>
      <c r="DM211" s="420"/>
      <c r="DN211" s="420"/>
      <c r="DU211" s="420"/>
      <c r="DV211" s="420"/>
      <c r="DW211" s="420"/>
      <c r="DX211" s="420"/>
      <c r="DY211" s="420"/>
      <c r="DZ211" s="420"/>
      <c r="EA211" s="420"/>
    </row>
    <row r="212" spans="1:131" x14ac:dyDescent="0.2">
      <c r="A212" s="78" t="s">
        <v>195</v>
      </c>
      <c r="B212" s="78"/>
      <c r="C212" s="48"/>
      <c r="D212" s="62"/>
      <c r="E212" s="62"/>
      <c r="F212" s="62"/>
      <c r="G212" s="119"/>
      <c r="H212" s="141">
        <f t="shared" ref="H212:AM212" si="314">H210-H211</f>
        <v>2010.7540000000001</v>
      </c>
      <c r="I212" s="62">
        <f t="shared" si="314"/>
        <v>2077.1949999999997</v>
      </c>
      <c r="J212" s="62">
        <f t="shared" si="314"/>
        <v>1983.759</v>
      </c>
      <c r="K212" s="62">
        <f t="shared" si="314"/>
        <v>2015.827</v>
      </c>
      <c r="L212" s="119">
        <f t="shared" si="314"/>
        <v>3271.6409999999996</v>
      </c>
      <c r="M212" s="141">
        <f t="shared" si="314"/>
        <v>3271.6409999999996</v>
      </c>
      <c r="N212" s="119">
        <f t="shared" si="314"/>
        <v>3080.1029999999996</v>
      </c>
      <c r="O212" s="119">
        <f t="shared" si="314"/>
        <v>2970.6670000000004</v>
      </c>
      <c r="P212" s="119">
        <f t="shared" si="314"/>
        <v>2918.8310000000001</v>
      </c>
      <c r="Q212" s="119">
        <f t="shared" si="314"/>
        <v>2798.8490000000002</v>
      </c>
      <c r="R212" s="141">
        <f t="shared" si="314"/>
        <v>2798.8490000000002</v>
      </c>
      <c r="S212" s="119">
        <f t="shared" si="314"/>
        <v>2822.9</v>
      </c>
      <c r="T212" s="119">
        <f t="shared" si="314"/>
        <v>4274.2</v>
      </c>
      <c r="U212" s="119">
        <f t="shared" si="314"/>
        <v>4291.2</v>
      </c>
      <c r="V212" s="119">
        <f t="shared" si="314"/>
        <v>4152</v>
      </c>
      <c r="W212" s="141">
        <f t="shared" si="314"/>
        <v>4152</v>
      </c>
      <c r="X212" s="119">
        <f t="shared" si="314"/>
        <v>4953.4000000000005</v>
      </c>
      <c r="Y212" s="119">
        <f t="shared" si="314"/>
        <v>4715.8</v>
      </c>
      <c r="Z212" s="119">
        <f t="shared" si="314"/>
        <v>4678.9000000000005</v>
      </c>
      <c r="AA212" s="119">
        <f t="shared" si="314"/>
        <v>5237</v>
      </c>
      <c r="AB212" s="141">
        <f t="shared" si="314"/>
        <v>5237</v>
      </c>
      <c r="AC212" s="119">
        <f t="shared" si="314"/>
        <v>5267.7000000000007</v>
      </c>
      <c r="AD212" s="119">
        <f t="shared" si="314"/>
        <v>4812.9000000000005</v>
      </c>
      <c r="AE212" s="119">
        <f t="shared" si="314"/>
        <v>4600.7</v>
      </c>
      <c r="AF212" s="119">
        <f t="shared" si="314"/>
        <v>4420.5</v>
      </c>
      <c r="AG212" s="141">
        <f t="shared" si="314"/>
        <v>4420.5</v>
      </c>
      <c r="AH212" s="119">
        <f t="shared" si="314"/>
        <v>4305</v>
      </c>
      <c r="AI212" s="119">
        <f t="shared" si="314"/>
        <v>4144.4000000000005</v>
      </c>
      <c r="AJ212" s="119">
        <f t="shared" si="314"/>
        <v>4046.8999999999996</v>
      </c>
      <c r="AK212" s="119">
        <f t="shared" si="314"/>
        <v>3792</v>
      </c>
      <c r="AL212" s="141">
        <f t="shared" si="314"/>
        <v>3791.9999999999991</v>
      </c>
      <c r="AM212" s="119">
        <f t="shared" si="314"/>
        <v>3996.9</v>
      </c>
      <c r="AN212" s="119">
        <f t="shared" ref="AN212:BR212" si="315">AN210-AN211</f>
        <v>3769.4999999999995</v>
      </c>
      <c r="AO212" s="119">
        <f t="shared" si="315"/>
        <v>3710.6</v>
      </c>
      <c r="AP212" s="119">
        <f t="shared" si="315"/>
        <v>3227.1</v>
      </c>
      <c r="AQ212" s="141">
        <f t="shared" si="315"/>
        <v>3227.1</v>
      </c>
      <c r="AR212" s="119">
        <f t="shared" si="315"/>
        <v>2979</v>
      </c>
      <c r="AS212" s="119">
        <f t="shared" si="315"/>
        <v>2936.3999999999996</v>
      </c>
      <c r="AT212" s="119">
        <f t="shared" si="315"/>
        <v>3048.8</v>
      </c>
      <c r="AU212" s="119">
        <f t="shared" si="315"/>
        <v>3043.7</v>
      </c>
      <c r="AV212" s="141">
        <f t="shared" si="315"/>
        <v>3043.7000000000007</v>
      </c>
      <c r="AW212" s="119">
        <f t="shared" si="315"/>
        <v>3351.9</v>
      </c>
      <c r="AX212" s="119">
        <f t="shared" si="315"/>
        <v>3809.2</v>
      </c>
      <c r="AY212" s="119">
        <f t="shared" si="315"/>
        <v>3794.9</v>
      </c>
      <c r="AZ212" s="119">
        <f t="shared" si="315"/>
        <v>2973.9</v>
      </c>
      <c r="BA212" s="141">
        <f t="shared" si="315"/>
        <v>2973.9</v>
      </c>
      <c r="BB212" s="119">
        <f t="shared" si="315"/>
        <v>4462.7</v>
      </c>
      <c r="BC212" s="119">
        <f t="shared" si="315"/>
        <v>7183.7</v>
      </c>
      <c r="BD212" s="119">
        <f t="shared" si="315"/>
        <v>7069.4000000000005</v>
      </c>
      <c r="BE212" s="119">
        <f t="shared" si="315"/>
        <v>6956.6</v>
      </c>
      <c r="BF212" s="141">
        <f t="shared" si="315"/>
        <v>6956.5999999999995</v>
      </c>
      <c r="BG212" s="119">
        <f t="shared" si="315"/>
        <v>6817.2000000000007</v>
      </c>
      <c r="BH212" s="119">
        <f>BH210-BH211</f>
        <v>7087.5999999999995</v>
      </c>
      <c r="BI212" s="119">
        <f t="shared" si="315"/>
        <v>7251.5</v>
      </c>
      <c r="BJ212" s="119">
        <f t="shared" si="315"/>
        <v>7237.9</v>
      </c>
      <c r="BK212" s="141">
        <f t="shared" si="315"/>
        <v>7237.9000000000015</v>
      </c>
      <c r="BL212" s="119">
        <f>BL210-BL211</f>
        <v>7186.9</v>
      </c>
      <c r="BM212" s="119">
        <f t="shared" si="315"/>
        <v>7093.9</v>
      </c>
      <c r="BN212" s="119">
        <f t="shared" si="315"/>
        <v>6911.7</v>
      </c>
      <c r="BO212" s="119">
        <f t="shared" si="315"/>
        <v>7998.0999999999995</v>
      </c>
      <c r="BP212" s="141">
        <f t="shared" si="315"/>
        <v>7998.0999999999985</v>
      </c>
      <c r="BQ212" s="119">
        <f>BQ210-BQ211</f>
        <v>8140.9000000000005</v>
      </c>
      <c r="BR212" s="119">
        <f t="shared" si="315"/>
        <v>7851.7</v>
      </c>
      <c r="BS212" s="119">
        <f>BS210-BS211</f>
        <v>8434.3000000000011</v>
      </c>
      <c r="BT212" s="119">
        <f>BT210-BT211</f>
        <v>9060.7000000000007</v>
      </c>
      <c r="BU212" s="141">
        <f t="shared" ref="BU212:BV212" si="316">BU210-BU211</f>
        <v>9060.7000000000007</v>
      </c>
      <c r="BV212" s="119">
        <f t="shared" si="316"/>
        <v>9012.4</v>
      </c>
      <c r="BW212" s="119">
        <f t="shared" ref="BW212:CY212" si="317">BW210-BW211</f>
        <v>8821.7999999999993</v>
      </c>
      <c r="BX212" s="119">
        <f t="shared" si="317"/>
        <v>9195.7000000000007</v>
      </c>
      <c r="BY212" s="119">
        <f t="shared" si="317"/>
        <v>10096.400000000001</v>
      </c>
      <c r="BZ212" s="141">
        <f t="shared" si="317"/>
        <v>10096.400000000003</v>
      </c>
      <c r="CA212" s="119">
        <f t="shared" ca="1" si="317"/>
        <v>10206.229055872425</v>
      </c>
      <c r="CB212" s="119">
        <f t="shared" ca="1" si="317"/>
        <v>10207.959441177112</v>
      </c>
      <c r="CC212" s="119">
        <f t="shared" ca="1" si="317"/>
        <v>10368.387716935535</v>
      </c>
      <c r="CD212" s="119">
        <f t="shared" ca="1" si="317"/>
        <v>10577.865393273534</v>
      </c>
      <c r="CE212" s="141">
        <f t="shared" ca="1" si="317"/>
        <v>10577.865393273534</v>
      </c>
      <c r="CF212" s="119">
        <f t="shared" ca="1" si="317"/>
        <v>10715.309173256379</v>
      </c>
      <c r="CG212" s="119">
        <f t="shared" ca="1" si="317"/>
        <v>10770.144714122895</v>
      </c>
      <c r="CH212" s="119">
        <f t="shared" ca="1" si="317"/>
        <v>11009.674536933018</v>
      </c>
      <c r="CI212" s="119">
        <f t="shared" ca="1" si="317"/>
        <v>11310.355948944898</v>
      </c>
      <c r="CJ212" s="141">
        <f t="shared" ca="1" si="317"/>
        <v>11310.355948944898</v>
      </c>
      <c r="CK212" s="119">
        <f t="shared" ca="1" si="317"/>
        <v>11331.526741935757</v>
      </c>
      <c r="CL212" s="119">
        <f t="shared" ca="1" si="317"/>
        <v>11238.141133451389</v>
      </c>
      <c r="CM212" s="119">
        <f t="shared" ca="1" si="317"/>
        <v>11356.040979591826</v>
      </c>
      <c r="CN212" s="119">
        <f t="shared" ca="1" si="317"/>
        <v>11544.708215758612</v>
      </c>
      <c r="CO212" s="141">
        <f t="shared" ca="1" si="317"/>
        <v>11544.708215758612</v>
      </c>
      <c r="CP212" s="119">
        <f t="shared" ca="1" si="317"/>
        <v>11503.232005899721</v>
      </c>
      <c r="CQ212" s="119">
        <f t="shared" ca="1" si="317"/>
        <v>11303.984726332723</v>
      </c>
      <c r="CR212" s="119">
        <f t="shared" ca="1" si="317"/>
        <v>11333.971252774003</v>
      </c>
      <c r="CS212" s="119">
        <f t="shared" ca="1" si="317"/>
        <v>11446.938879762103</v>
      </c>
      <c r="CT212" s="141">
        <f t="shared" ca="1" si="317"/>
        <v>11446.938879762103</v>
      </c>
      <c r="CU212" s="119">
        <f t="shared" ca="1" si="317"/>
        <v>11384.134279171965</v>
      </c>
      <c r="CV212" s="119">
        <f t="shared" ca="1" si="317"/>
        <v>11159.76110949668</v>
      </c>
      <c r="CW212" s="119">
        <f t="shared" ca="1" si="317"/>
        <v>11171.574144636192</v>
      </c>
      <c r="CX212" s="119">
        <f t="shared" ca="1" si="317"/>
        <v>11275.314726894203</v>
      </c>
      <c r="CY212" s="141">
        <f t="shared" ca="1" si="317"/>
        <v>11275.314726894203</v>
      </c>
      <c r="CZ212" s="142"/>
      <c r="DA212" s="759"/>
      <c r="DB212" s="735"/>
      <c r="DC212" s="735"/>
      <c r="DD212" s="730"/>
      <c r="DF212" s="730"/>
      <c r="DG212" s="735"/>
      <c r="DH212" s="735"/>
      <c r="DI212" s="730"/>
      <c r="DJ212" s="730"/>
      <c r="DK212" s="730"/>
      <c r="DL212" s="730"/>
      <c r="DM212" s="730"/>
      <c r="DN212" s="730"/>
      <c r="DU212" s="418"/>
      <c r="DV212" s="418"/>
      <c r="DW212" s="730"/>
      <c r="DX212" s="730"/>
      <c r="DY212" s="730"/>
      <c r="DZ212" s="730"/>
      <c r="EA212" s="730"/>
    </row>
    <row r="213" spans="1:131" x14ac:dyDescent="0.2">
      <c r="A213" s="243" t="s">
        <v>196</v>
      </c>
      <c r="B213" s="243"/>
      <c r="C213" s="243"/>
      <c r="D213" s="95"/>
      <c r="E213" s="95"/>
      <c r="F213" s="95"/>
      <c r="G213" s="95"/>
      <c r="H213" s="96">
        <f>-H45*2/(H210+C210)</f>
        <v>0.14026339305333779</v>
      </c>
      <c r="I213" s="95">
        <f>-I45*8/(I210+H210)</f>
        <v>5.8599869262337879E-2</v>
      </c>
      <c r="J213" s="95">
        <f>-J45*8/(J210+I210)</f>
        <v>5.9576229770232213E-2</v>
      </c>
      <c r="K213" s="95">
        <f>-K45*8/(K210+J210)</f>
        <v>6.0965046189709472E-2</v>
      </c>
      <c r="L213" s="95">
        <f>-L45*8/(L210+K210)</f>
        <v>6.9652117384878906E-2</v>
      </c>
      <c r="M213" s="96">
        <f>-M45*2/(M210+H210)</f>
        <v>5.1600418649148251E-2</v>
      </c>
      <c r="N213" s="95">
        <f>-N45*8/(N210+M210)</f>
        <v>5.9230847375223501E-2</v>
      </c>
      <c r="O213" s="95">
        <f>-O45*8/(O210+N210)</f>
        <v>6.162314914986497E-2</v>
      </c>
      <c r="P213" s="95">
        <f>-P45*8/(P210+O210)</f>
        <v>6.4840756796778989E-2</v>
      </c>
      <c r="Q213" s="95">
        <f>-Q45*8/(Q210+P210)</f>
        <v>6.5752297333834683E-2</v>
      </c>
      <c r="R213" s="96">
        <f>-R45/R212</f>
        <v>6.7742132569495531E-2</v>
      </c>
      <c r="S213" s="95">
        <f>-S45*8/(S210+R210)</f>
        <v>6.8710983016782509E-2</v>
      </c>
      <c r="T213" s="95">
        <f>-T45*8/(T210+S210)</f>
        <v>8.0815962545981501E-2</v>
      </c>
      <c r="U213" s="95">
        <f>-U45*8/(U210+T210)</f>
        <v>6.7667171933397358E-2</v>
      </c>
      <c r="V213" s="95">
        <f>-V45*8/(V210+U210)</f>
        <v>6.9929741288154712E-2</v>
      </c>
      <c r="W213" s="96">
        <f>-W45/W212</f>
        <v>6.4715799614643549E-2</v>
      </c>
      <c r="X213" s="95">
        <f>-X45*8/(X210+W210)</f>
        <v>6.9512886485543574E-2</v>
      </c>
      <c r="Y213" s="95">
        <f>-Y45*8/(Y210+X210)</f>
        <v>7.1241487689889985E-2</v>
      </c>
      <c r="Z213" s="95">
        <f>-Z45*8/(Z210+Y210)</f>
        <v>6.9735951252538939E-2</v>
      </c>
      <c r="AA213" s="95">
        <f>-AA45*8/(AA210+Z210)</f>
        <v>7.4689046610382184E-2</v>
      </c>
      <c r="AB213" s="96">
        <f>-AB45/AB212</f>
        <v>6.5266373878174536E-2</v>
      </c>
      <c r="AC213" s="95">
        <f>-AC45*8/(AC210+AB210)</f>
        <v>6.566575674855929E-2</v>
      </c>
      <c r="AD213" s="95">
        <f>-AD45*8/(AD210+AC210)</f>
        <v>6.3727086973259489E-2</v>
      </c>
      <c r="AE213" s="95">
        <f>-AE45*8/(AE210+AD210)</f>
        <v>6.3701948065448336E-2</v>
      </c>
      <c r="AF213" s="95">
        <f>-AF45*8/(AF210+AE210)</f>
        <v>6.293675940796041E-2</v>
      </c>
      <c r="AG213" s="96">
        <f>-AG45/AG212</f>
        <v>7.1575613618368963E-2</v>
      </c>
      <c r="AH213" s="95">
        <f>-AH45*8/(AH210+AG210)</f>
        <v>6.1036617401832E-2</v>
      </c>
      <c r="AI213" s="95">
        <f>-AI45*8/(AI210+AH210)</f>
        <v>6.2786504672456653E-2</v>
      </c>
      <c r="AJ213" s="95">
        <f>-AJ45*8/(AJ210+AI210)</f>
        <v>6.197571810731968E-2</v>
      </c>
      <c r="AK213" s="95">
        <f>-AK45*8/(AK210+AJ210)</f>
        <v>6.3635332232405112E-2</v>
      </c>
      <c r="AL213" s="96">
        <f>-AL45*2/(AL212+AG212)</f>
        <v>6.3439878234398783E-2</v>
      </c>
      <c r="AM213" s="95">
        <f>-AM45*8/(AM210+AL210)</f>
        <v>4.9405982198566213E-2</v>
      </c>
      <c r="AN213" s="95">
        <f>-AN45*8/(AN210+AM210)</f>
        <v>5.1581807926985593E-2</v>
      </c>
      <c r="AO213" s="95">
        <f>-AO45*8/(AO210+AN210)</f>
        <v>5.2303595206391482E-2</v>
      </c>
      <c r="AP213" s="95">
        <f>-AP45*8/(AP210+AO210)</f>
        <v>5.4460066926137099E-2</v>
      </c>
      <c r="AQ213" s="96">
        <f>-AQ45*2/(AQ212+AL212)</f>
        <v>5.5648160020515466E-2</v>
      </c>
      <c r="AR213" s="95">
        <f>-AR45*8/(AR210+AQ210)</f>
        <v>5.689790807070496E-2</v>
      </c>
      <c r="AS213" s="95">
        <f>-AS45*8/(AS210+AR210)</f>
        <v>5.7250623021485827E-2</v>
      </c>
      <c r="AT213" s="95">
        <f>-AT45*8/(AT210+AS210)</f>
        <v>6.1213022640885802E-2</v>
      </c>
      <c r="AU213" s="95">
        <f>-AU45*8/(AU210+AT210)</f>
        <v>6.1468375547392561E-2</v>
      </c>
      <c r="AV213" s="96">
        <f>-AV45/AVERAGE(AQ210:AU210)</f>
        <v>5.8731147626093508E-2</v>
      </c>
      <c r="AW213" s="95">
        <f>-AW45*8/(AW210+AV210)</f>
        <v>6.1918937485688108E-2</v>
      </c>
      <c r="AX213" s="95">
        <f>-AX45*8/(AX210+AW210)</f>
        <v>5.8957711879277071E-2</v>
      </c>
      <c r="AY213" s="95">
        <f>-AY45*8/(AY210+AX210)</f>
        <v>6.1529982087159117E-2</v>
      </c>
      <c r="AZ213" s="95">
        <f>-AZ45*8/(AZ210+AY210)</f>
        <v>6.6184527722989259E-2</v>
      </c>
      <c r="BA213" s="96">
        <f>-BA45/AVERAGE(AV210:AZ210)</f>
        <v>6.3652671113851672E-2</v>
      </c>
      <c r="BB213" s="95">
        <f>-BB45*8/(BB210+BA210)</f>
        <v>5.2331272232434882E-2</v>
      </c>
      <c r="BC213" s="95">
        <f>-BC45*8/(BC210+BB210)</f>
        <v>5.8387553041018385E-2</v>
      </c>
      <c r="BD213" s="95">
        <f>-BD45*8/(BD210+BC210)</f>
        <v>4.9656739475306716E-2</v>
      </c>
      <c r="BE213" s="95">
        <f>-BE45*8/(BE210+BD210)</f>
        <v>5.0017308249323565E-2</v>
      </c>
      <c r="BF213" s="96">
        <f>AVERAGE(BB213:BE213)</f>
        <v>5.2598218249520885E-2</v>
      </c>
      <c r="BG213" s="95">
        <f>-BG45*8/(BG210+BF210)</f>
        <v>4.8622297881919289E-2</v>
      </c>
      <c r="BH213" s="95">
        <f>-BH45*8/(BH210+BG210)</f>
        <v>4.7264563393595652E-2</v>
      </c>
      <c r="BI213" s="95">
        <f>-BI45*8/(BI210+BH210)</f>
        <v>4.7413288125314423E-2</v>
      </c>
      <c r="BJ213" s="95">
        <f>-BJ45*8/(BJ210+BI210)</f>
        <v>4.379960182180162E-2</v>
      </c>
      <c r="BK213" s="96">
        <f>-BK45*2/(BK212+BF212)</f>
        <v>4.7581809855930114E-2</v>
      </c>
      <c r="BL213" s="95">
        <f>-BL45*8/(BL210+BK210)</f>
        <v>4.2275801876500103E-2</v>
      </c>
      <c r="BM213" s="95">
        <f>-BM45*8/(BM210+BL210)</f>
        <v>4.1950451794969201E-2</v>
      </c>
      <c r="BN213" s="95">
        <f>-BN45*8/(BN210+BM210)</f>
        <v>4.0791550321719071E-2</v>
      </c>
      <c r="BO213" s="95">
        <f>-BO45*8/(BO210+BN210)</f>
        <v>4.3140749925730741E-2</v>
      </c>
      <c r="BP213" s="96">
        <f>-BP45*2/(BP212+BK212)</f>
        <v>4.1205040693095295E-2</v>
      </c>
      <c r="BQ213" s="95">
        <f>-BQ45*8/(BQ210+BP210)</f>
        <v>4.1294983342892354E-2</v>
      </c>
      <c r="BR213" s="95">
        <f>-BR45*8/(BR210+BQ210)</f>
        <v>4.6078887447053345E-2</v>
      </c>
      <c r="BS213" s="95">
        <f>-BS45*8/(BS210+BR210)</f>
        <v>3.7261563209008079E-2</v>
      </c>
      <c r="BT213" s="95">
        <f>-BT45*8/(BT210+BS210)</f>
        <v>3.4471759458748606E-2</v>
      </c>
      <c r="BU213" s="96">
        <f>-BU45*2/(BU212+BP212)</f>
        <v>3.9076605622904305E-2</v>
      </c>
      <c r="BV213" s="95">
        <f>-BV45*8/(BV210+BU210)</f>
        <v>3.5729771919174404E-2</v>
      </c>
      <c r="BW213" s="95">
        <f>-BW45*8/(BW210+BV210)</f>
        <v>3.5817147514441948E-2</v>
      </c>
      <c r="BX213" s="581">
        <f>-BX45*8/(BX210+BW210)</f>
        <v>3.5589366911507526E-2</v>
      </c>
      <c r="BY213" s="581">
        <f>-BY45*8/(BY210+BX210)</f>
        <v>3.5583946276021274E-2</v>
      </c>
      <c r="BZ213" s="96">
        <f>-BZ45*2/(BZ212+BU212)</f>
        <v>3.4660778510317312E-2</v>
      </c>
      <c r="CA213" s="94">
        <v>3.4750000000000003E-2</v>
      </c>
      <c r="CB213" s="94">
        <f>+CA213</f>
        <v>3.4750000000000003E-2</v>
      </c>
      <c r="CC213" s="94">
        <f>+CB213</f>
        <v>3.4750000000000003E-2</v>
      </c>
      <c r="CD213" s="94">
        <f>+CC213</f>
        <v>3.4750000000000003E-2</v>
      </c>
      <c r="CE213" s="96">
        <f ca="1">-CE45*2/(CE212+BZ212)</f>
        <v>3.485033342739588E-2</v>
      </c>
      <c r="CF213" s="94">
        <f>CD213</f>
        <v>3.4750000000000003E-2</v>
      </c>
      <c r="CG213" s="94">
        <f t="shared" ref="CG213:CI214" si="318">CF213</f>
        <v>3.4750000000000003E-2</v>
      </c>
      <c r="CH213" s="94">
        <f t="shared" si="318"/>
        <v>3.4750000000000003E-2</v>
      </c>
      <c r="CI213" s="94">
        <f t="shared" si="318"/>
        <v>3.4750000000000003E-2</v>
      </c>
      <c r="CJ213" s="96">
        <f ca="1">-CJ45*2/(CJ212+CE212)</f>
        <v>3.4758734727133332E-2</v>
      </c>
      <c r="CK213" s="94">
        <f>CI213</f>
        <v>3.4750000000000003E-2</v>
      </c>
      <c r="CL213" s="94">
        <f t="shared" ref="CL213:CN214" si="319">CK213</f>
        <v>3.4750000000000003E-2</v>
      </c>
      <c r="CM213" s="94">
        <f t="shared" si="319"/>
        <v>3.4750000000000003E-2</v>
      </c>
      <c r="CN213" s="94">
        <f t="shared" si="319"/>
        <v>3.4750000000000003E-2</v>
      </c>
      <c r="CO213" s="96">
        <f ca="1">-CO45*2/(CO212+CJ212)</f>
        <v>3.4743401093243996E-2</v>
      </c>
      <c r="CP213" s="94">
        <f>CN213</f>
        <v>3.4750000000000003E-2</v>
      </c>
      <c r="CQ213" s="94">
        <f t="shared" ref="CQ213:CS214" si="320">CP213</f>
        <v>3.4750000000000003E-2</v>
      </c>
      <c r="CR213" s="94">
        <f t="shared" si="320"/>
        <v>3.4750000000000003E-2</v>
      </c>
      <c r="CS213" s="94">
        <f t="shared" si="320"/>
        <v>3.4750000000000003E-2</v>
      </c>
      <c r="CT213" s="96">
        <f ca="1">-CT45*2/(CT212+CO212)</f>
        <v>3.4751454389602428E-2</v>
      </c>
      <c r="CU213" s="94">
        <f>CS213</f>
        <v>3.4750000000000003E-2</v>
      </c>
      <c r="CV213" s="94">
        <f t="shared" ref="CV213:CX214" si="321">CU213</f>
        <v>3.4750000000000003E-2</v>
      </c>
      <c r="CW213" s="94">
        <f t="shared" si="321"/>
        <v>3.4750000000000003E-2</v>
      </c>
      <c r="CX213" s="94">
        <f t="shared" si="321"/>
        <v>3.4750000000000003E-2</v>
      </c>
      <c r="CY213" s="96">
        <f ca="1">-CY45*2/(CY212+CT212)</f>
        <v>3.473493320740826E-2</v>
      </c>
      <c r="CZ213" s="92"/>
      <c r="DA213" s="843"/>
      <c r="DB213" s="750"/>
      <c r="DC213" s="750"/>
      <c r="DD213" s="751"/>
      <c r="DE213" s="752"/>
      <c r="DF213" s="751"/>
      <c r="DG213" s="750"/>
      <c r="DH213" s="750"/>
      <c r="DI213" s="751"/>
      <c r="DJ213" s="751"/>
      <c r="DK213" s="751"/>
      <c r="DL213" s="751"/>
      <c r="DM213" s="751"/>
      <c r="DN213" s="751"/>
      <c r="DU213" s="749"/>
      <c r="DV213" s="749"/>
      <c r="DW213" s="751"/>
      <c r="DX213" s="751"/>
      <c r="DY213" s="751"/>
      <c r="DZ213" s="751"/>
      <c r="EA213" s="751"/>
    </row>
    <row r="214" spans="1:131" x14ac:dyDescent="0.2">
      <c r="A214" s="243" t="s">
        <v>197</v>
      </c>
      <c r="B214" s="243"/>
      <c r="C214" s="243"/>
      <c r="D214" s="95"/>
      <c r="E214" s="120"/>
      <c r="F214" s="120"/>
      <c r="G214" s="120"/>
      <c r="H214" s="96"/>
      <c r="I214" s="264"/>
      <c r="J214" s="95"/>
      <c r="K214" s="95"/>
      <c r="L214" s="120"/>
      <c r="M214" s="96"/>
      <c r="N214" s="95"/>
      <c r="O214" s="95"/>
      <c r="P214" s="95"/>
      <c r="Q214" s="95"/>
      <c r="R214" s="96"/>
      <c r="S214" s="95"/>
      <c r="T214" s="95"/>
      <c r="U214" s="95"/>
      <c r="V214" s="95"/>
      <c r="W214" s="96"/>
      <c r="X214" s="95"/>
      <c r="Y214" s="95"/>
      <c r="Z214" s="95"/>
      <c r="AA214" s="95"/>
      <c r="AB214" s="96"/>
      <c r="AC214" s="95"/>
      <c r="AD214" s="95"/>
      <c r="AE214" s="95"/>
      <c r="AF214" s="95"/>
      <c r="AG214" s="96"/>
      <c r="AH214" s="95"/>
      <c r="AI214" s="95"/>
      <c r="AJ214" s="94"/>
      <c r="AK214" s="94"/>
      <c r="AL214" s="96"/>
      <c r="AM214" s="94"/>
      <c r="AN214" s="94"/>
      <c r="AO214" s="94"/>
      <c r="AP214" s="94"/>
      <c r="AQ214" s="96"/>
      <c r="AR214" s="94"/>
      <c r="AS214" s="94"/>
      <c r="AT214" s="94"/>
      <c r="AU214" s="94"/>
      <c r="AV214" s="96"/>
      <c r="AW214" s="94"/>
      <c r="AX214" s="94"/>
      <c r="AY214" s="94"/>
      <c r="AZ214" s="94"/>
      <c r="BA214" s="265"/>
      <c r="BB214" s="93"/>
      <c r="BC214" s="148"/>
      <c r="BD214" s="148"/>
      <c r="BE214" s="148"/>
      <c r="BF214" s="96"/>
      <c r="BG214" s="148"/>
      <c r="BH214" s="94"/>
      <c r="BI214" s="94"/>
      <c r="BJ214" s="94"/>
      <c r="BK214" s="96"/>
      <c r="BL214" s="94"/>
      <c r="BM214" s="94"/>
      <c r="BN214" s="94"/>
      <c r="BO214" s="94"/>
      <c r="BP214" s="96"/>
      <c r="BQ214" s="94"/>
      <c r="BR214" s="94"/>
      <c r="BS214" s="94"/>
      <c r="BT214" s="94"/>
      <c r="BU214" s="96"/>
      <c r="BV214" s="94"/>
      <c r="BW214" s="94"/>
      <c r="BX214" s="94"/>
      <c r="BY214" s="94"/>
      <c r="BZ214" s="96"/>
      <c r="CA214" s="94">
        <v>1.25E-3</v>
      </c>
      <c r="CB214" s="94">
        <f>CA214</f>
        <v>1.25E-3</v>
      </c>
      <c r="CC214" s="94">
        <f>CB214</f>
        <v>1.25E-3</v>
      </c>
      <c r="CD214" s="94">
        <f>CC214</f>
        <v>1.25E-3</v>
      </c>
      <c r="CE214" s="96"/>
      <c r="CF214" s="94">
        <f>+CD214</f>
        <v>1.25E-3</v>
      </c>
      <c r="CG214" s="94">
        <f t="shared" si="318"/>
        <v>1.25E-3</v>
      </c>
      <c r="CH214" s="94">
        <f t="shared" si="318"/>
        <v>1.25E-3</v>
      </c>
      <c r="CI214" s="94">
        <f t="shared" si="318"/>
        <v>1.25E-3</v>
      </c>
      <c r="CJ214" s="96"/>
      <c r="CK214" s="94">
        <f>+CI214</f>
        <v>1.25E-3</v>
      </c>
      <c r="CL214" s="94">
        <f t="shared" si="319"/>
        <v>1.25E-3</v>
      </c>
      <c r="CM214" s="94">
        <f t="shared" si="319"/>
        <v>1.25E-3</v>
      </c>
      <c r="CN214" s="94">
        <f t="shared" si="319"/>
        <v>1.25E-3</v>
      </c>
      <c r="CO214" s="96"/>
      <c r="CP214" s="94">
        <f>+CN214</f>
        <v>1.25E-3</v>
      </c>
      <c r="CQ214" s="94">
        <f t="shared" si="320"/>
        <v>1.25E-3</v>
      </c>
      <c r="CR214" s="94">
        <f t="shared" si="320"/>
        <v>1.25E-3</v>
      </c>
      <c r="CS214" s="94">
        <f t="shared" si="320"/>
        <v>1.25E-3</v>
      </c>
      <c r="CT214" s="96"/>
      <c r="CU214" s="94">
        <f>+CS214</f>
        <v>1.25E-3</v>
      </c>
      <c r="CV214" s="94">
        <f t="shared" si="321"/>
        <v>1.25E-3</v>
      </c>
      <c r="CW214" s="94">
        <f t="shared" si="321"/>
        <v>1.25E-3</v>
      </c>
      <c r="CX214" s="94">
        <f t="shared" si="321"/>
        <v>1.25E-3</v>
      </c>
      <c r="CY214" s="96"/>
      <c r="CZ214" s="92"/>
      <c r="DA214" s="843"/>
      <c r="DB214" s="750"/>
      <c r="DC214" s="750"/>
      <c r="DD214" s="751"/>
      <c r="DE214" s="752"/>
      <c r="DF214" s="751"/>
      <c r="DG214" s="750"/>
      <c r="DH214" s="750"/>
      <c r="DI214" s="751"/>
      <c r="DJ214" s="751"/>
      <c r="DK214" s="751"/>
      <c r="DL214" s="751"/>
      <c r="DM214" s="751"/>
      <c r="DN214" s="751"/>
      <c r="DU214" s="749"/>
      <c r="DV214" s="749"/>
      <c r="DW214" s="751"/>
      <c r="DX214" s="751"/>
      <c r="DY214" s="751"/>
      <c r="DZ214" s="751"/>
      <c r="EA214" s="751"/>
    </row>
    <row r="215" spans="1:131" hidden="1" outlineLevel="1" x14ac:dyDescent="0.2">
      <c r="A215" s="78" t="s">
        <v>198</v>
      </c>
      <c r="B215" s="78"/>
      <c r="C215" s="48"/>
      <c r="D215" s="119"/>
      <c r="E215" s="119"/>
      <c r="F215" s="119"/>
      <c r="G215" s="119"/>
      <c r="H215" s="141"/>
      <c r="I215" s="119">
        <f>+H217</f>
        <v>2010.7540000000001</v>
      </c>
      <c r="J215" s="62">
        <f>I217</f>
        <v>2077.1949999999997</v>
      </c>
      <c r="K215" s="62">
        <f>J217</f>
        <v>1983.759</v>
      </c>
      <c r="L215" s="119">
        <f>K217</f>
        <v>2015.827</v>
      </c>
      <c r="M215" s="141">
        <f>+H217</f>
        <v>2010.7540000000001</v>
      </c>
      <c r="N215" s="119">
        <f>M217</f>
        <v>3271.6409999999996</v>
      </c>
      <c r="O215" s="119">
        <f>N217</f>
        <v>3080.1029999999996</v>
      </c>
      <c r="P215" s="119">
        <f>O217</f>
        <v>2970.6670000000004</v>
      </c>
      <c r="Q215" s="119">
        <f>P217</f>
        <v>2918.8310000000001</v>
      </c>
      <c r="R215" s="141">
        <f>M217</f>
        <v>3271.6409999999996</v>
      </c>
      <c r="S215" s="119">
        <f>R217</f>
        <v>2798.8490000000002</v>
      </c>
      <c r="T215" s="119">
        <f>S217</f>
        <v>2822.9</v>
      </c>
      <c r="U215" s="119">
        <f>T217</f>
        <v>4274.2</v>
      </c>
      <c r="V215" s="119">
        <f>U217</f>
        <v>4291.2</v>
      </c>
      <c r="W215" s="141">
        <f>R217</f>
        <v>2798.8490000000002</v>
      </c>
      <c r="X215" s="119">
        <f>W217</f>
        <v>4152</v>
      </c>
      <c r="Y215" s="119">
        <f>X217</f>
        <v>4953.4000000000005</v>
      </c>
      <c r="Z215" s="119">
        <f>Y217</f>
        <v>4715.8</v>
      </c>
      <c r="AA215" s="119">
        <f>Z217</f>
        <v>4678.9000000000005</v>
      </c>
      <c r="AB215" s="141">
        <f>W217</f>
        <v>4152</v>
      </c>
      <c r="AC215" s="119">
        <f>AB217</f>
        <v>5237</v>
      </c>
      <c r="AD215" s="119">
        <f>AC217</f>
        <v>5267.7000000000007</v>
      </c>
      <c r="AE215" s="119">
        <f>AD217</f>
        <v>4812.9000000000005</v>
      </c>
      <c r="AF215" s="119">
        <f>AE217</f>
        <v>4600.7</v>
      </c>
      <c r="AG215" s="141">
        <f>AB217</f>
        <v>5237</v>
      </c>
      <c r="AH215" s="119">
        <f>AG217</f>
        <v>4420.5</v>
      </c>
      <c r="AI215" s="119">
        <f>AH217</f>
        <v>4305</v>
      </c>
      <c r="AJ215" s="119">
        <f>AI217</f>
        <v>4144.4000000000005</v>
      </c>
      <c r="AK215" s="119">
        <f>AJ217</f>
        <v>4046.8999999999996</v>
      </c>
      <c r="AL215" s="141">
        <f>AG217</f>
        <v>4420.5</v>
      </c>
      <c r="AM215" s="119">
        <f>AL217</f>
        <v>3792</v>
      </c>
      <c r="AN215" s="119">
        <f>AM217</f>
        <v>4007.7</v>
      </c>
      <c r="AO215" s="119">
        <f>AN217</f>
        <v>3772.7999999999997</v>
      </c>
      <c r="AP215" s="119">
        <f>AO217</f>
        <v>3701.4999999999995</v>
      </c>
      <c r="AQ215" s="141">
        <f>AL217</f>
        <v>3792</v>
      </c>
      <c r="AR215" s="119">
        <f ca="1">AQ217</f>
        <v>3207.9</v>
      </c>
      <c r="AS215" s="119">
        <f ca="1">AR217</f>
        <v>2954.9</v>
      </c>
      <c r="AT215" s="119">
        <f ca="1">AS217</f>
        <v>2898.3</v>
      </c>
      <c r="AU215" s="119">
        <f ca="1">AT217</f>
        <v>2914</v>
      </c>
      <c r="AV215" s="141">
        <f ca="1">AQ217</f>
        <v>3207.9</v>
      </c>
      <c r="AW215" s="119">
        <f ca="1">AV217</f>
        <v>2905.2000000000003</v>
      </c>
      <c r="AX215" s="119">
        <f ca="1">AW217</f>
        <v>3192.5000000000005</v>
      </c>
      <c r="AY215" s="119">
        <f ca="1">AX217</f>
        <v>2982.1000000000004</v>
      </c>
      <c r="AZ215" s="119">
        <f ca="1">AY217</f>
        <v>2947.7000000000003</v>
      </c>
      <c r="BA215" s="141">
        <f ca="1">AV217</f>
        <v>2905.2000000000003</v>
      </c>
      <c r="BB215" s="119">
        <f ca="1">BA217</f>
        <v>2763.9000000000005</v>
      </c>
      <c r="BC215" s="119">
        <f ca="1">BB217</f>
        <v>4239.1000000000004</v>
      </c>
      <c r="BD215" s="119">
        <f ca="1">BC217</f>
        <v>6883.6</v>
      </c>
      <c r="BE215" s="119">
        <f ca="1">BD217</f>
        <v>6753.0000000000009</v>
      </c>
      <c r="BF215" s="141">
        <f ca="1">BA217</f>
        <v>2763.9000000000005</v>
      </c>
      <c r="BG215" s="119">
        <f ca="1">BF217</f>
        <v>6635.2000000000007</v>
      </c>
      <c r="BH215" s="119">
        <f ca="1">BG217</f>
        <v>6494.5000000000009</v>
      </c>
      <c r="BI215" s="119">
        <f ca="1">BH217</f>
        <v>6757.4000000000005</v>
      </c>
      <c r="BJ215" s="119">
        <f ca="1">BI217</f>
        <v>6917.1</v>
      </c>
      <c r="BK215" s="141">
        <f ca="1">BF217</f>
        <v>6635.2000000000007</v>
      </c>
      <c r="BL215" s="119">
        <f ca="1">BK217</f>
        <v>6901.4000000000005</v>
      </c>
      <c r="BM215" s="119">
        <f ca="1">BL217</f>
        <v>6852.3</v>
      </c>
      <c r="BN215" s="119">
        <f ca="1">BM217</f>
        <v>6754</v>
      </c>
      <c r="BO215" s="119">
        <f ca="1">BN217</f>
        <v>6566</v>
      </c>
      <c r="BP215" s="141">
        <f ca="1">BK217</f>
        <v>6901.4000000000005</v>
      </c>
      <c r="BQ215" s="119">
        <f ca="1">BP217</f>
        <v>7690.3</v>
      </c>
      <c r="BR215" s="119">
        <f ca="1">BQ217</f>
        <v>7833.2</v>
      </c>
      <c r="BS215" s="119">
        <f ca="1">BR217</f>
        <v>7398.5</v>
      </c>
      <c r="BT215" s="119">
        <f ca="1">BS217</f>
        <v>7962.6</v>
      </c>
      <c r="BU215" s="141">
        <f ca="1">BP217</f>
        <v>7690.3</v>
      </c>
      <c r="BV215" s="119">
        <f ca="1">BU217</f>
        <v>8786.9</v>
      </c>
      <c r="BW215" s="119">
        <f ca="1">BV217</f>
        <v>8741.6</v>
      </c>
      <c r="BX215" s="119">
        <f ca="1">BW217</f>
        <v>8544.4</v>
      </c>
      <c r="BY215" s="119">
        <f ca="1">BX217</f>
        <v>8909.7999999999993</v>
      </c>
      <c r="BZ215" s="141">
        <f ca="1">BU217</f>
        <v>8786.9</v>
      </c>
      <c r="CA215" s="119">
        <f ca="1">BZ217</f>
        <v>9815.9</v>
      </c>
      <c r="CB215" s="119">
        <f ca="1">CA217</f>
        <v>9925.7290558724253</v>
      </c>
      <c r="CC215" s="119">
        <f ca="1">CB217</f>
        <v>9927.4594411771122</v>
      </c>
      <c r="CD215" s="119">
        <f ca="1">CC217</f>
        <v>10087.887716935535</v>
      </c>
      <c r="CE215" s="141">
        <f ca="1">BZ217</f>
        <v>9815.9</v>
      </c>
      <c r="CF215" s="119">
        <f ca="1">CE217</f>
        <v>10297.365393273534</v>
      </c>
      <c r="CG215" s="119">
        <f ca="1">CF217</f>
        <v>10434.809173256381</v>
      </c>
      <c r="CH215" s="119">
        <f ca="1">CG217</f>
        <v>10489.644714122895</v>
      </c>
      <c r="CI215" s="119">
        <f ca="1">CH217</f>
        <v>10729.17453693302</v>
      </c>
      <c r="CJ215" s="141">
        <f ca="1">CE217</f>
        <v>10297.365393273534</v>
      </c>
      <c r="CK215" s="119">
        <f ca="1">CJ217</f>
        <v>11029.8559489449</v>
      </c>
      <c r="CL215" s="119">
        <f ca="1">CK217</f>
        <v>11051.026741935753</v>
      </c>
      <c r="CM215" s="119">
        <f ca="1">CL217</f>
        <v>10957.641133451385</v>
      </c>
      <c r="CN215" s="119">
        <f ca="1">CM217</f>
        <v>11075.540979591826</v>
      </c>
      <c r="CO215" s="141">
        <f ca="1">CJ217</f>
        <v>11029.8559489449</v>
      </c>
      <c r="CP215" s="119">
        <f ca="1">CO217</f>
        <v>11264.208215758603</v>
      </c>
      <c r="CQ215" s="119">
        <f ca="1">CP217</f>
        <v>11222.732005899721</v>
      </c>
      <c r="CR215" s="119">
        <f ca="1">CQ217</f>
        <v>11023.484726332721</v>
      </c>
      <c r="CS215" s="119">
        <f ca="1">CR217</f>
        <v>11053.471252774003</v>
      </c>
      <c r="CT215" s="141">
        <f ca="1">CO217</f>
        <v>11264.208215758603</v>
      </c>
      <c r="CU215" s="119">
        <f ca="1">CT217</f>
        <v>11166.438879762092</v>
      </c>
      <c r="CV215" s="119">
        <f ca="1">CU217</f>
        <v>11103.634279171958</v>
      </c>
      <c r="CW215" s="119">
        <f ca="1">CV217</f>
        <v>10879.261109496669</v>
      </c>
      <c r="CX215" s="119">
        <f ca="1">CW217</f>
        <v>10891.074144636184</v>
      </c>
      <c r="CY215" s="141">
        <f ca="1">CT217</f>
        <v>11166.438879762092</v>
      </c>
      <c r="CZ215" s="142"/>
      <c r="DA215" s="843"/>
      <c r="DB215" s="735"/>
      <c r="DC215" s="735"/>
      <c r="DD215" s="730"/>
      <c r="DF215" s="730"/>
      <c r="DG215" s="735"/>
      <c r="DH215" s="735"/>
      <c r="DI215" s="730"/>
      <c r="DJ215" s="730"/>
      <c r="DK215" s="730"/>
      <c r="DL215" s="730"/>
      <c r="DM215" s="730"/>
      <c r="DN215" s="730"/>
      <c r="DU215" s="418"/>
      <c r="DV215" s="418"/>
      <c r="DW215" s="730"/>
      <c r="DX215" s="730"/>
      <c r="DY215" s="730"/>
      <c r="DZ215" s="730"/>
      <c r="EA215" s="730"/>
    </row>
    <row r="216" spans="1:131" hidden="1" outlineLevel="1" x14ac:dyDescent="0.2">
      <c r="A216" s="48" t="s">
        <v>199</v>
      </c>
      <c r="B216" s="48"/>
      <c r="C216" s="48"/>
      <c r="D216" s="119"/>
      <c r="E216" s="119"/>
      <c r="F216" s="119"/>
      <c r="G216" s="119"/>
      <c r="H216" s="141"/>
      <c r="I216" s="119">
        <f t="shared" ref="I216:AL216" si="322">+I217-I215</f>
        <v>66.440999999999576</v>
      </c>
      <c r="J216" s="119">
        <f t="shared" si="322"/>
        <v>-93.435999999999694</v>
      </c>
      <c r="K216" s="119">
        <f t="shared" si="322"/>
        <v>32.067999999999984</v>
      </c>
      <c r="L216" s="119">
        <f t="shared" si="322"/>
        <v>1255.8139999999996</v>
      </c>
      <c r="M216" s="141">
        <f t="shared" si="322"/>
        <v>1260.8869999999995</v>
      </c>
      <c r="N216" s="119">
        <f t="shared" si="322"/>
        <v>-191.53800000000001</v>
      </c>
      <c r="O216" s="119">
        <f t="shared" si="322"/>
        <v>-109.43599999999924</v>
      </c>
      <c r="P216" s="119">
        <f t="shared" si="322"/>
        <v>-51.83600000000024</v>
      </c>
      <c r="Q216" s="119">
        <f t="shared" si="322"/>
        <v>-119.98199999999997</v>
      </c>
      <c r="R216" s="141">
        <f t="shared" si="322"/>
        <v>-472.79199999999946</v>
      </c>
      <c r="S216" s="119">
        <f t="shared" si="322"/>
        <v>24.050999999999931</v>
      </c>
      <c r="T216" s="119">
        <f t="shared" si="322"/>
        <v>1451.2999999999997</v>
      </c>
      <c r="U216" s="119">
        <f t="shared" si="322"/>
        <v>17</v>
      </c>
      <c r="V216" s="119">
        <f t="shared" si="322"/>
        <v>-139.19999999999982</v>
      </c>
      <c r="W216" s="141">
        <f t="shared" si="322"/>
        <v>1353.1509999999998</v>
      </c>
      <c r="X216" s="119">
        <f t="shared" si="322"/>
        <v>801.40000000000055</v>
      </c>
      <c r="Y216" s="119">
        <f t="shared" si="322"/>
        <v>-237.60000000000036</v>
      </c>
      <c r="Z216" s="119">
        <f t="shared" si="322"/>
        <v>-36.899999999999636</v>
      </c>
      <c r="AA216" s="119">
        <f t="shared" si="322"/>
        <v>558.09999999999945</v>
      </c>
      <c r="AB216" s="141">
        <f t="shared" si="322"/>
        <v>1085</v>
      </c>
      <c r="AC216" s="119">
        <f t="shared" si="322"/>
        <v>30.700000000000728</v>
      </c>
      <c r="AD216" s="119">
        <f t="shared" si="322"/>
        <v>-454.80000000000018</v>
      </c>
      <c r="AE216" s="119">
        <f t="shared" si="322"/>
        <v>-212.20000000000073</v>
      </c>
      <c r="AF216" s="119">
        <f t="shared" si="322"/>
        <v>-180.19999999999982</v>
      </c>
      <c r="AG216" s="141">
        <f t="shared" si="322"/>
        <v>-816.5</v>
      </c>
      <c r="AH216" s="119">
        <f t="shared" si="322"/>
        <v>-115.5</v>
      </c>
      <c r="AI216" s="119">
        <f t="shared" si="322"/>
        <v>-160.59999999999945</v>
      </c>
      <c r="AJ216" s="119">
        <f t="shared" si="322"/>
        <v>-97.500000000000909</v>
      </c>
      <c r="AK216" s="119">
        <f t="shared" si="322"/>
        <v>-254.89999999999964</v>
      </c>
      <c r="AL216" s="141">
        <f t="shared" si="322"/>
        <v>-628.5</v>
      </c>
      <c r="AM216" s="119">
        <f t="shared" ref="AM216:BR216" si="323">-(AM145+AM152+AM157+AM158+AM160+AM164)</f>
        <v>215.7</v>
      </c>
      <c r="AN216" s="119">
        <f t="shared" si="323"/>
        <v>-234.9</v>
      </c>
      <c r="AO216" s="119">
        <f t="shared" si="323"/>
        <v>-71.300000000000011</v>
      </c>
      <c r="AP216" s="119">
        <f ca="1">-(AP145+AP152+AP157+AP158+AP160+AP164)</f>
        <v>-493.59999999999985</v>
      </c>
      <c r="AQ216" s="141">
        <f ca="1">-(AQ145+AQ152+AQ157+AQ158+AQ160+AQ164)</f>
        <v>-584.1</v>
      </c>
      <c r="AR216" s="119">
        <f t="shared" si="323"/>
        <v>-253</v>
      </c>
      <c r="AS216" s="119">
        <f t="shared" si="323"/>
        <v>-56.599999999999966</v>
      </c>
      <c r="AT216" s="119">
        <f t="shared" si="323"/>
        <v>15.70000000000004</v>
      </c>
      <c r="AU216" s="119">
        <f t="shared" si="323"/>
        <v>-8.800000000000022</v>
      </c>
      <c r="AV216" s="141">
        <f t="shared" si="323"/>
        <v>-302.7</v>
      </c>
      <c r="AW216" s="119">
        <f ca="1">-(AW145+AW152+AW157+AW158+AW160+AW164)</f>
        <v>287.3</v>
      </c>
      <c r="AX216" s="119">
        <f t="shared" si="323"/>
        <v>-210.40000000000003</v>
      </c>
      <c r="AY216" s="119">
        <f t="shared" si="323"/>
        <v>-34.399999999999928</v>
      </c>
      <c r="AZ216" s="119">
        <f ca="1">-(AZ145+AZ152+AZ157+AZ158+AZ160+AZ164)</f>
        <v>-183.8</v>
      </c>
      <c r="BA216" s="141">
        <f t="shared" si="323"/>
        <v>-141.29999999999995</v>
      </c>
      <c r="BB216" s="119">
        <f t="shared" si="323"/>
        <v>1475.2</v>
      </c>
      <c r="BC216" s="119">
        <f t="shared" si="323"/>
        <v>2644.4999999999995</v>
      </c>
      <c r="BD216" s="119">
        <f t="shared" si="323"/>
        <v>-130.59999999999965</v>
      </c>
      <c r="BE216" s="119">
        <f ca="1">-(BE145+BE152+BE157+BE158+BE160+BE164)</f>
        <v>-117.79999999999988</v>
      </c>
      <c r="BF216" s="141">
        <f ca="1">-(BF145+BF152+BF157+BF158+BF160+BF164)</f>
        <v>3871.3</v>
      </c>
      <c r="BG216" s="119">
        <f t="shared" si="323"/>
        <v>-140.69999999999999</v>
      </c>
      <c r="BH216" s="119">
        <f t="shared" si="323"/>
        <v>262.89999999999981</v>
      </c>
      <c r="BI216" s="119">
        <f ca="1">-(BI145+BI152+BI157+BI158+BI160+BI164)</f>
        <v>159.70000000000005</v>
      </c>
      <c r="BJ216" s="119">
        <f ca="1">-(BJ145+BJ152+BJ157+BJ158+BJ160+BJ164)</f>
        <v>-15.699999999999818</v>
      </c>
      <c r="BK216" s="141">
        <f ca="1">-(BK145+BK152+BK157+BK158+BK160+BK164)</f>
        <v>266.2</v>
      </c>
      <c r="BL216" s="119">
        <f t="shared" si="323"/>
        <v>-49.100000000000016</v>
      </c>
      <c r="BM216" s="119">
        <f t="shared" si="323"/>
        <v>-98.300000000000097</v>
      </c>
      <c r="BN216" s="119">
        <f t="shared" si="323"/>
        <v>-187.99999999999986</v>
      </c>
      <c r="BO216" s="119">
        <f t="shared" si="323"/>
        <v>1124.3</v>
      </c>
      <c r="BP216" s="141">
        <f t="shared" si="323"/>
        <v>788.89999999999952</v>
      </c>
      <c r="BQ216" s="119">
        <f t="shared" si="323"/>
        <v>142.89999999999998</v>
      </c>
      <c r="BR216" s="119">
        <f t="shared" si="323"/>
        <v>-434.70000000000016</v>
      </c>
      <c r="BS216" s="119">
        <f t="shared" ref="BS216:BX216" si="324">-(BS145+BS152+BS157+BS158+BS160+BS164)</f>
        <v>564.1</v>
      </c>
      <c r="BT216" s="119">
        <f t="shared" si="324"/>
        <v>824.3000000000003</v>
      </c>
      <c r="BU216" s="141">
        <f t="shared" si="324"/>
        <v>1096.6000000000001</v>
      </c>
      <c r="BV216" s="119">
        <f t="shared" si="324"/>
        <v>-45.30000000000004</v>
      </c>
      <c r="BW216" s="119">
        <f>-(BW145+BW152+BW157+BW158+BW160+BW164)</f>
        <v>-197.20000000000005</v>
      </c>
      <c r="BX216" s="119">
        <f t="shared" si="324"/>
        <v>365.40000000000009</v>
      </c>
      <c r="BY216" s="119">
        <f t="shared" ref="BY216:CY216" ca="1" si="325">-(BY145+BY152+BY157+BY158+BY160+BY164)</f>
        <v>906.0999999999998</v>
      </c>
      <c r="BZ216" s="141">
        <f t="shared" ca="1" si="325"/>
        <v>1028.9999999999998</v>
      </c>
      <c r="CA216" s="119">
        <f t="shared" ca="1" si="325"/>
        <v>109.82905587242604</v>
      </c>
      <c r="CB216" s="119">
        <f t="shared" ca="1" si="325"/>
        <v>1.7303853046869051</v>
      </c>
      <c r="CC216" s="119">
        <f t="shared" ca="1" si="325"/>
        <v>160.42827575842296</v>
      </c>
      <c r="CD216" s="119">
        <f t="shared" ca="1" si="325"/>
        <v>209.47767633799768</v>
      </c>
      <c r="CE216" s="141">
        <f t="shared" ca="1" si="325"/>
        <v>481.46539327353491</v>
      </c>
      <c r="CF216" s="119">
        <f t="shared" ca="1" si="325"/>
        <v>137.44377998284625</v>
      </c>
      <c r="CG216" s="119">
        <f t="shared" ca="1" si="325"/>
        <v>54.835540866514179</v>
      </c>
      <c r="CH216" s="119">
        <f t="shared" ca="1" si="325"/>
        <v>239.5298228101247</v>
      </c>
      <c r="CI216" s="119">
        <f t="shared" ca="1" si="325"/>
        <v>300.68141201188121</v>
      </c>
      <c r="CJ216" s="141">
        <f t="shared" ca="1" si="325"/>
        <v>732.490555671366</v>
      </c>
      <c r="CK216" s="119">
        <f t="shared" ca="1" si="325"/>
        <v>21.17079299085313</v>
      </c>
      <c r="CL216" s="119">
        <f t="shared" ca="1" si="325"/>
        <v>-93.385608484368845</v>
      </c>
      <c r="CM216" s="119">
        <f t="shared" ca="1" si="325"/>
        <v>117.89984614044093</v>
      </c>
      <c r="CN216" s="119">
        <f t="shared" ca="1" si="325"/>
        <v>188.66723616677848</v>
      </c>
      <c r="CO216" s="141">
        <f t="shared" ca="1" si="325"/>
        <v>234.35226681370364</v>
      </c>
      <c r="CP216" s="119">
        <f t="shared" ca="1" si="325"/>
        <v>-41.476209858882584</v>
      </c>
      <c r="CQ216" s="119">
        <f t="shared" ca="1" si="325"/>
        <v>-199.24727956700025</v>
      </c>
      <c r="CR216" s="119">
        <f t="shared" ca="1" si="325"/>
        <v>29.986526441281853</v>
      </c>
      <c r="CS216" s="119">
        <f t="shared" ca="1" si="325"/>
        <v>112.96762698809221</v>
      </c>
      <c r="CT216" s="141">
        <f t="shared" ca="1" si="325"/>
        <v>-97.769335996511472</v>
      </c>
      <c r="CU216" s="119">
        <f t="shared" ca="1" si="325"/>
        <v>-62.804600590133305</v>
      </c>
      <c r="CV216" s="119">
        <f t="shared" ca="1" si="325"/>
        <v>-224.37316967528878</v>
      </c>
      <c r="CW216" s="119">
        <f t="shared" ca="1" si="325"/>
        <v>11.81303513951579</v>
      </c>
      <c r="CX216" s="119">
        <f t="shared" ca="1" si="325"/>
        <v>103.74058225800991</v>
      </c>
      <c r="CY216" s="141">
        <f t="shared" ca="1" si="325"/>
        <v>-171.62415286789496</v>
      </c>
      <c r="CZ216" s="142"/>
      <c r="DA216" s="843"/>
      <c r="DB216" s="735"/>
      <c r="DC216" s="735"/>
      <c r="DD216" s="730"/>
      <c r="DF216" s="730"/>
      <c r="DG216" s="735"/>
      <c r="DH216" s="735"/>
      <c r="DI216" s="730"/>
      <c r="DJ216" s="730"/>
      <c r="DK216" s="730"/>
      <c r="DL216" s="730"/>
      <c r="DM216" s="730"/>
      <c r="DN216" s="730"/>
      <c r="DU216" s="418"/>
      <c r="DV216" s="418"/>
      <c r="DW216" s="730"/>
      <c r="DX216" s="730"/>
      <c r="DY216" s="730"/>
      <c r="DZ216" s="730"/>
      <c r="EA216" s="730"/>
    </row>
    <row r="217" spans="1:131" hidden="1" outlineLevel="1" x14ac:dyDescent="0.2">
      <c r="A217" s="78" t="s">
        <v>200</v>
      </c>
      <c r="B217" s="78"/>
      <c r="C217" s="48"/>
      <c r="D217" s="119"/>
      <c r="E217" s="119"/>
      <c r="F217" s="119"/>
      <c r="G217" s="119"/>
      <c r="H217" s="141">
        <f>+H212</f>
        <v>2010.7540000000001</v>
      </c>
      <c r="I217" s="119">
        <f>+I212</f>
        <v>2077.1949999999997</v>
      </c>
      <c r="J217" s="62">
        <f>J212</f>
        <v>1983.759</v>
      </c>
      <c r="K217" s="62">
        <f>K212</f>
        <v>2015.827</v>
      </c>
      <c r="L217" s="62">
        <f>L212</f>
        <v>3271.6409999999996</v>
      </c>
      <c r="M217" s="141">
        <f>+M212</f>
        <v>3271.6409999999996</v>
      </c>
      <c r="N217" s="62">
        <f>N212</f>
        <v>3080.1029999999996</v>
      </c>
      <c r="O217" s="62">
        <f>O212</f>
        <v>2970.6670000000004</v>
      </c>
      <c r="P217" s="62">
        <f>P212</f>
        <v>2918.8310000000001</v>
      </c>
      <c r="Q217" s="62">
        <f>Q212</f>
        <v>2798.8490000000002</v>
      </c>
      <c r="R217" s="141">
        <f>+Q217</f>
        <v>2798.8490000000002</v>
      </c>
      <c r="S217" s="62">
        <f t="shared" ref="S217:AK217" si="326">S212</f>
        <v>2822.9</v>
      </c>
      <c r="T217" s="62">
        <f t="shared" si="326"/>
        <v>4274.2</v>
      </c>
      <c r="U217" s="62">
        <f t="shared" si="326"/>
        <v>4291.2</v>
      </c>
      <c r="V217" s="62">
        <f t="shared" si="326"/>
        <v>4152</v>
      </c>
      <c r="W217" s="141">
        <f t="shared" si="326"/>
        <v>4152</v>
      </c>
      <c r="X217" s="62">
        <f t="shared" si="326"/>
        <v>4953.4000000000005</v>
      </c>
      <c r="Y217" s="62">
        <f t="shared" si="326"/>
        <v>4715.8</v>
      </c>
      <c r="Z217" s="62">
        <f t="shared" si="326"/>
        <v>4678.9000000000005</v>
      </c>
      <c r="AA217" s="62">
        <f t="shared" si="326"/>
        <v>5237</v>
      </c>
      <c r="AB217" s="141">
        <f t="shared" si="326"/>
        <v>5237</v>
      </c>
      <c r="AC217" s="62">
        <f t="shared" si="326"/>
        <v>5267.7000000000007</v>
      </c>
      <c r="AD217" s="62">
        <f t="shared" si="326"/>
        <v>4812.9000000000005</v>
      </c>
      <c r="AE217" s="62">
        <f t="shared" si="326"/>
        <v>4600.7</v>
      </c>
      <c r="AF217" s="62">
        <f t="shared" si="326"/>
        <v>4420.5</v>
      </c>
      <c r="AG217" s="141">
        <f t="shared" si="326"/>
        <v>4420.5</v>
      </c>
      <c r="AH217" s="62">
        <f t="shared" si="326"/>
        <v>4305</v>
      </c>
      <c r="AI217" s="62">
        <f t="shared" si="326"/>
        <v>4144.4000000000005</v>
      </c>
      <c r="AJ217" s="62">
        <f t="shared" si="326"/>
        <v>4046.8999999999996</v>
      </c>
      <c r="AK217" s="62">
        <f t="shared" si="326"/>
        <v>3792</v>
      </c>
      <c r="AL217" s="141">
        <f>+AK217</f>
        <v>3792</v>
      </c>
      <c r="AM217" s="119">
        <f t="shared" ref="AM217:AO217" si="327">AM215+AM216</f>
        <v>4007.7</v>
      </c>
      <c r="AN217" s="119">
        <f t="shared" si="327"/>
        <v>3772.7999999999997</v>
      </c>
      <c r="AO217" s="119">
        <f t="shared" si="327"/>
        <v>3701.4999999999995</v>
      </c>
      <c r="AP217" s="119">
        <f t="shared" ref="AP217:BU217" ca="1" si="328">AP215+AP216</f>
        <v>3207.8999999999996</v>
      </c>
      <c r="AQ217" s="141">
        <f t="shared" ca="1" si="328"/>
        <v>3207.9</v>
      </c>
      <c r="AR217" s="119">
        <f t="shared" ca="1" si="328"/>
        <v>2954.9</v>
      </c>
      <c r="AS217" s="119">
        <f t="shared" ca="1" si="328"/>
        <v>2898.3</v>
      </c>
      <c r="AT217" s="119">
        <f t="shared" ca="1" si="328"/>
        <v>2914</v>
      </c>
      <c r="AU217" s="119">
        <f t="shared" ca="1" si="328"/>
        <v>2905.2</v>
      </c>
      <c r="AV217" s="141">
        <f t="shared" ca="1" si="328"/>
        <v>2905.2000000000003</v>
      </c>
      <c r="AW217" s="119">
        <f t="shared" ca="1" si="328"/>
        <v>3192.5000000000005</v>
      </c>
      <c r="AX217" s="119">
        <f t="shared" ca="1" si="328"/>
        <v>2982.1000000000004</v>
      </c>
      <c r="AY217" s="119">
        <f t="shared" ca="1" si="328"/>
        <v>2947.7000000000003</v>
      </c>
      <c r="AZ217" s="119">
        <f t="shared" ca="1" si="328"/>
        <v>2763.9</v>
      </c>
      <c r="BA217" s="141">
        <f t="shared" ca="1" si="328"/>
        <v>2763.9000000000005</v>
      </c>
      <c r="BB217" s="119">
        <f t="shared" ca="1" si="328"/>
        <v>4239.1000000000004</v>
      </c>
      <c r="BC217" s="119">
        <f t="shared" ca="1" si="328"/>
        <v>6883.6</v>
      </c>
      <c r="BD217" s="119">
        <f t="shared" ca="1" si="328"/>
        <v>6753.0000000000009</v>
      </c>
      <c r="BE217" s="119">
        <f t="shared" ca="1" si="328"/>
        <v>6635.2000000000007</v>
      </c>
      <c r="BF217" s="141">
        <f t="shared" ca="1" si="328"/>
        <v>6635.2000000000007</v>
      </c>
      <c r="BG217" s="119">
        <f t="shared" ca="1" si="328"/>
        <v>6494.5000000000009</v>
      </c>
      <c r="BH217" s="119">
        <f t="shared" ca="1" si="328"/>
        <v>6757.4000000000005</v>
      </c>
      <c r="BI217" s="119">
        <f t="shared" ca="1" si="328"/>
        <v>6917.1</v>
      </c>
      <c r="BJ217" s="119">
        <f t="shared" ca="1" si="328"/>
        <v>6901.4000000000005</v>
      </c>
      <c r="BK217" s="141">
        <f t="shared" ca="1" si="328"/>
        <v>6901.4000000000005</v>
      </c>
      <c r="BL217" s="119">
        <f t="shared" ca="1" si="328"/>
        <v>6852.3</v>
      </c>
      <c r="BM217" s="119">
        <f t="shared" ca="1" si="328"/>
        <v>6754</v>
      </c>
      <c r="BN217" s="119">
        <f t="shared" ca="1" si="328"/>
        <v>6566</v>
      </c>
      <c r="BO217" s="119">
        <f t="shared" ca="1" si="328"/>
        <v>7690.3</v>
      </c>
      <c r="BP217" s="141">
        <f t="shared" ca="1" si="328"/>
        <v>7690.3</v>
      </c>
      <c r="BQ217" s="119">
        <f t="shared" ca="1" si="328"/>
        <v>7833.2</v>
      </c>
      <c r="BR217" s="119">
        <f t="shared" ca="1" si="328"/>
        <v>7398.5</v>
      </c>
      <c r="BS217" s="119">
        <f t="shared" ca="1" si="328"/>
        <v>7962.6</v>
      </c>
      <c r="BT217" s="119">
        <f t="shared" ca="1" si="328"/>
        <v>8786.9000000000015</v>
      </c>
      <c r="BU217" s="141">
        <f t="shared" ca="1" si="328"/>
        <v>8786.9</v>
      </c>
      <c r="BV217" s="119">
        <f t="shared" ref="BV217:CY217" ca="1" si="329">BV215+BV216</f>
        <v>8741.6</v>
      </c>
      <c r="BW217" s="119">
        <f t="shared" ca="1" si="329"/>
        <v>8544.4</v>
      </c>
      <c r="BX217" s="119">
        <f t="shared" ca="1" si="329"/>
        <v>8909.7999999999993</v>
      </c>
      <c r="BY217" s="119">
        <f t="shared" ca="1" si="329"/>
        <v>9815.9</v>
      </c>
      <c r="BZ217" s="141">
        <f t="shared" ca="1" si="329"/>
        <v>9815.9</v>
      </c>
      <c r="CA217" s="119">
        <f t="shared" ca="1" si="329"/>
        <v>9925.7290558724253</v>
      </c>
      <c r="CB217" s="119">
        <f t="shared" ca="1" si="329"/>
        <v>9927.4594411771122</v>
      </c>
      <c r="CC217" s="119">
        <f t="shared" ca="1" si="329"/>
        <v>10087.887716935535</v>
      </c>
      <c r="CD217" s="119">
        <f t="shared" ca="1" si="329"/>
        <v>10297.365393273532</v>
      </c>
      <c r="CE217" s="141">
        <f t="shared" ca="1" si="329"/>
        <v>10297.365393273534</v>
      </c>
      <c r="CF217" s="119">
        <f t="shared" ca="1" si="329"/>
        <v>10434.809173256381</v>
      </c>
      <c r="CG217" s="119">
        <f t="shared" ca="1" si="329"/>
        <v>10489.644714122895</v>
      </c>
      <c r="CH217" s="119">
        <f t="shared" ca="1" si="329"/>
        <v>10729.17453693302</v>
      </c>
      <c r="CI217" s="119">
        <f t="shared" ca="1" si="329"/>
        <v>11029.855948944902</v>
      </c>
      <c r="CJ217" s="141">
        <f t="shared" ca="1" si="329"/>
        <v>11029.8559489449</v>
      </c>
      <c r="CK217" s="119">
        <f t="shared" ca="1" si="329"/>
        <v>11051.026741935753</v>
      </c>
      <c r="CL217" s="119">
        <f t="shared" ca="1" si="329"/>
        <v>10957.641133451385</v>
      </c>
      <c r="CM217" s="119">
        <f t="shared" ca="1" si="329"/>
        <v>11075.540979591826</v>
      </c>
      <c r="CN217" s="119">
        <f t="shared" ca="1" si="329"/>
        <v>11264.208215758605</v>
      </c>
      <c r="CO217" s="141">
        <f t="shared" ca="1" si="329"/>
        <v>11264.208215758603</v>
      </c>
      <c r="CP217" s="119">
        <f t="shared" ca="1" si="329"/>
        <v>11222.732005899721</v>
      </c>
      <c r="CQ217" s="119">
        <f t="shared" ca="1" si="329"/>
        <v>11023.484726332721</v>
      </c>
      <c r="CR217" s="119">
        <f t="shared" ca="1" si="329"/>
        <v>11053.471252774003</v>
      </c>
      <c r="CS217" s="119">
        <f t="shared" ca="1" si="329"/>
        <v>11166.438879762096</v>
      </c>
      <c r="CT217" s="141">
        <f t="shared" ca="1" si="329"/>
        <v>11166.438879762092</v>
      </c>
      <c r="CU217" s="119">
        <f t="shared" ca="1" si="329"/>
        <v>11103.634279171958</v>
      </c>
      <c r="CV217" s="119">
        <f t="shared" ca="1" si="329"/>
        <v>10879.261109496669</v>
      </c>
      <c r="CW217" s="119">
        <f t="shared" ca="1" si="329"/>
        <v>10891.074144636184</v>
      </c>
      <c r="CX217" s="119">
        <f t="shared" ca="1" si="329"/>
        <v>10994.814726894194</v>
      </c>
      <c r="CY217" s="141">
        <f t="shared" ca="1" si="329"/>
        <v>10994.814726894198</v>
      </c>
      <c r="CZ217" s="142"/>
      <c r="DA217" s="849"/>
      <c r="DB217" s="735"/>
      <c r="DC217" s="735"/>
      <c r="DD217" s="730"/>
      <c r="DF217" s="730"/>
      <c r="DG217" s="735"/>
      <c r="DH217" s="735"/>
      <c r="DI217" s="730"/>
      <c r="DJ217" s="730"/>
      <c r="DK217" s="730"/>
      <c r="DL217" s="730"/>
      <c r="DM217" s="730"/>
      <c r="DN217" s="730"/>
      <c r="DU217" s="418"/>
      <c r="DV217" s="418"/>
      <c r="DW217" s="730"/>
      <c r="DX217" s="730"/>
      <c r="DY217" s="730"/>
      <c r="DZ217" s="730"/>
      <c r="EA217" s="730"/>
    </row>
    <row r="218" spans="1:131" collapsed="1" x14ac:dyDescent="0.2">
      <c r="A218" s="78"/>
      <c r="B218" s="48" t="s">
        <v>201</v>
      </c>
      <c r="C218" s="48"/>
      <c r="D218" s="119"/>
      <c r="E218" s="119"/>
      <c r="F218" s="119"/>
      <c r="G218" s="119"/>
      <c r="H218" s="266">
        <f>+H212/H42</f>
        <v>3.0399459364662773</v>
      </c>
      <c r="I218" s="267">
        <f>+I212/(I42+G42+F42+E42)</f>
        <v>3.0804885608483965</v>
      </c>
      <c r="J218" s="267">
        <f>+J212/(J42+I42+G42+F42)</f>
        <v>2.8995838650126506</v>
      </c>
      <c r="K218" s="267">
        <f>+K212/(K42+J42+I42+G42)</f>
        <v>2.898443678233638</v>
      </c>
      <c r="L218" s="267">
        <f>+M218</f>
        <v>4.4685392337635719</v>
      </c>
      <c r="M218" s="266">
        <f>+M212/M42</f>
        <v>4.4685392337635719</v>
      </c>
      <c r="N218" s="267">
        <f>+N212/(N42+L42+K42+J42)</f>
        <v>3.9926721360989004</v>
      </c>
      <c r="O218" s="267">
        <f>+O212/(O42+N42+L42+K42)</f>
        <v>3.6463010628360881</v>
      </c>
      <c r="P218" s="267">
        <f>+P212/(P42+O42+N42+L42)</f>
        <v>3.2774421670323455</v>
      </c>
      <c r="Q218" s="267">
        <f>+R218</f>
        <v>3.1146772757622965</v>
      </c>
      <c r="R218" s="266">
        <f>+R212/R42</f>
        <v>3.1146772757622965</v>
      </c>
      <c r="S218" s="267">
        <f>+S212/(S42+Q42+P42+O42)</f>
        <v>3.117917338576067</v>
      </c>
      <c r="T218" s="267">
        <f>+T212/(T42+S42+Q42+P42)</f>
        <v>4.4977375565610851</v>
      </c>
      <c r="U218" s="267">
        <f>+U212/(U42+T42+S42+Q42)</f>
        <v>4.3284244502723421</v>
      </c>
      <c r="V218" s="267">
        <f>+W218</f>
        <v>4.0131451768799549</v>
      </c>
      <c r="W218" s="266">
        <f>+W212/W42</f>
        <v>4.0131451768799549</v>
      </c>
      <c r="X218" s="267">
        <f>+X212/(X42+V42+U42+T42)</f>
        <v>4.7748216695585137</v>
      </c>
      <c r="Y218" s="267">
        <f>+Y212/(Y42+X42+V42+U42)</f>
        <v>4.6718842876956614</v>
      </c>
      <c r="Z218" s="267">
        <f>+Z212/(Z42+Y42+X42+V42)</f>
        <v>4.6878068329826688</v>
      </c>
      <c r="AA218" s="267">
        <f>+AB218</f>
        <v>5.31837107748553</v>
      </c>
      <c r="AB218" s="266">
        <f>+AB212/AB42</f>
        <v>5.31837107748553</v>
      </c>
      <c r="AC218" s="267">
        <f>+AC212/(AC42+AA42+Z42+Y42)</f>
        <v>5.0880904085772247</v>
      </c>
      <c r="AD218" s="267">
        <f>+AD212/(AD42+AC42+AA42+Z42)</f>
        <v>4.5702212515430647</v>
      </c>
      <c r="AE218" s="267">
        <f>+AE212/(AE42+AD42+AC42+AA42)</f>
        <v>4.3223412251033446</v>
      </c>
      <c r="AF218" s="267">
        <f>+AG218</f>
        <v>4.3131037174358493</v>
      </c>
      <c r="AG218" s="266">
        <f>+AG212/AG42</f>
        <v>4.3131037174358493</v>
      </c>
      <c r="AH218" s="267">
        <f>+AH212/(AH42+AF42+AE42+AD42)</f>
        <v>4.3024185488706781</v>
      </c>
      <c r="AI218" s="267">
        <f>+AI212/(AI42+AH42+AF42+AE42)</f>
        <v>4.0397699580855839</v>
      </c>
      <c r="AJ218" s="267">
        <f>+AJ212/(AJ42+AI42+AH42+AF42)</f>
        <v>4.1026966747769658</v>
      </c>
      <c r="AK218" s="267">
        <f>+AL218</f>
        <v>3.9894792214623873</v>
      </c>
      <c r="AL218" s="266">
        <f>+AL212/AL42</f>
        <v>3.9894792214623873</v>
      </c>
      <c r="AM218" s="267">
        <f>+AM212/(AM42+AK42+AJ42+AI42)</f>
        <v>4.3444565217391302</v>
      </c>
      <c r="AN218" s="267">
        <f>+AN212/(AN42+AM42+AK42+AJ42)</f>
        <v>4.2636579572446553</v>
      </c>
      <c r="AO218" s="267">
        <f>+AO212/(AO42+AN42+AM42+AK42)</f>
        <v>4.2223486572599001</v>
      </c>
      <c r="AP218" s="267">
        <f>+AQ218</f>
        <v>3.5388748766312093</v>
      </c>
      <c r="AQ218" s="266">
        <f>+AQ212/AQ42</f>
        <v>3.5388748766312093</v>
      </c>
      <c r="AR218" s="267">
        <f>+AR212/(AR42+AP42+AO42+AN42)</f>
        <v>3.2250730756739205</v>
      </c>
      <c r="AS218" s="267">
        <f>+AS212/(AS42+AR42+AP42+AO42)</f>
        <v>3.2232711306256858</v>
      </c>
      <c r="AT218" s="267">
        <f>+AT212/(AT42+AS42+AR42+AP42)</f>
        <v>3.532383269609547</v>
      </c>
      <c r="AU218" s="267">
        <f>+AV218</f>
        <v>3.4634729176149306</v>
      </c>
      <c r="AV218" s="266">
        <f>+AV212/AV42</f>
        <v>3.4634729176149306</v>
      </c>
      <c r="AW218" s="267">
        <f>+AW212/(AW42+AU42+AT42+AS42)</f>
        <v>3.8355647099210435</v>
      </c>
      <c r="AX218" s="267">
        <f>+AX212/(AX42+AW42+AU42+AT42)</f>
        <v>4.3788941257615814</v>
      </c>
      <c r="AY218" s="267">
        <f>+AY212/(AY42+AX42+AW42+AU42)</f>
        <v>4.2297146678555517</v>
      </c>
      <c r="AZ218" s="267">
        <f>+BA218</f>
        <v>3.3080088987764182</v>
      </c>
      <c r="BA218" s="266">
        <f>+BA212/BA42</f>
        <v>3.3080088987764182</v>
      </c>
      <c r="BB218" s="268">
        <f>+BB212/(BB42+AZ42+AY42+AX42)</f>
        <v>4.956903254470733</v>
      </c>
      <c r="BC218" s="267">
        <f>+BC212/(BC42+BB42+AZ42+AY42)</f>
        <v>6.7300918118793334</v>
      </c>
      <c r="BD218" s="267">
        <f>+BD212/(BD42+BC42+BB42+AZ42)</f>
        <v>5.720504936073799</v>
      </c>
      <c r="BE218" s="267">
        <f>+BF218</f>
        <v>4.9832378223495688</v>
      </c>
      <c r="BF218" s="266">
        <f>+BF212/BF42</f>
        <v>4.9832378223495688</v>
      </c>
      <c r="BG218" s="268">
        <f>+BG212/(BG42+BE42+BD42+BC42)</f>
        <v>4.1591117076444393</v>
      </c>
      <c r="BH218" s="267">
        <f>+BH212/(BH42+BG42+BE42+BD42)</f>
        <v>4.1935980119519556</v>
      </c>
      <c r="BI218" s="267">
        <f>+BI212/(BI42+BH42+BG42+BE42)</f>
        <v>4.1756881262236556</v>
      </c>
      <c r="BJ218" s="267">
        <f>+BK218</f>
        <v>4.0973110670818009</v>
      </c>
      <c r="BK218" s="266">
        <f>+BK212/BK42</f>
        <v>4.0973110670818009</v>
      </c>
      <c r="BL218" s="267">
        <f>+BL212/(BL42+BJ42+BI42+BH42)</f>
        <v>3.9475447654619358</v>
      </c>
      <c r="BM218" s="267">
        <f>+BM212/(BM42+BL42+BJ42+BI42)</f>
        <v>3.7038061922414238</v>
      </c>
      <c r="BN218" s="267">
        <f>+BN212/(BN42+BM42+BL42+BJ42)</f>
        <v>3.4844222625529335</v>
      </c>
      <c r="BO218" s="267">
        <f>+BP218</f>
        <v>3.7848286958167705</v>
      </c>
      <c r="BP218" s="266">
        <f>+BP212/BP42</f>
        <v>3.7848286958167705</v>
      </c>
      <c r="BQ218" s="267">
        <f>+BQ212/(BQ42+BO42+BN42+BM42)</f>
        <v>3.6598183779895703</v>
      </c>
      <c r="BR218" s="267">
        <f>+BR212/(BR42+BQ42+BO42+BN42)</f>
        <v>3.3298134011874461</v>
      </c>
      <c r="BS218" s="267">
        <f>+BS212/(BS42+BR42+BQ42+BO42)</f>
        <v>3.4627827729194891</v>
      </c>
      <c r="BT218" s="267">
        <f>+BU218</f>
        <v>3.5980859343975853</v>
      </c>
      <c r="BU218" s="266">
        <f>+BU212/BU42</f>
        <v>3.5980859343975853</v>
      </c>
      <c r="BV218" s="267">
        <f>+BV212/(BV42+BT42+BS42+BR42)</f>
        <v>3.4033457950983723</v>
      </c>
      <c r="BW218" s="615">
        <f>+BW212/(BW42+BV42+BT42+BS42)</f>
        <v>3.2096780061851917</v>
      </c>
      <c r="BX218" s="267">
        <f>+BX212/(BX42+BW42+BV42+BT42)</f>
        <v>3.3057842326634792</v>
      </c>
      <c r="BY218" s="267">
        <f>+BZ218</f>
        <v>3.603797829811537</v>
      </c>
      <c r="BZ218" s="266">
        <f>+BZ212/BZ42</f>
        <v>3.603797829811537</v>
      </c>
      <c r="CA218" s="267">
        <f ca="1">+CA212/(CA42+BY42+BX42+BW42)</f>
        <v>3.5824493807684075</v>
      </c>
      <c r="CB218" s="267">
        <f ca="1">+CB212/(CB42+CA42+BY42+BX42)</f>
        <v>3.4794157428302994</v>
      </c>
      <c r="CC218" s="267">
        <f ca="1">+CC212/(CC42+CB42+CA42+BY42)</f>
        <v>3.4245916129034977</v>
      </c>
      <c r="CD218" s="267">
        <f ca="1">+CE218</f>
        <v>3.4139434794178705</v>
      </c>
      <c r="CE218" s="266">
        <f ca="1">+CE212/CE42</f>
        <v>3.4139434794178705</v>
      </c>
      <c r="CF218" s="267">
        <f ca="1">+CF212/(CF42+CD42+CC42+CB42)</f>
        <v>3.3751634746880979</v>
      </c>
      <c r="CG218" s="267">
        <f ca="1">+CG212/(CG42+CF42+CD42+CC42)</f>
        <v>3.3075942373164753</v>
      </c>
      <c r="CH218" s="267">
        <f ca="1">+CH212/(CH42+CG42+CF42+CD42)</f>
        <v>3.3150655816117367</v>
      </c>
      <c r="CI218" s="267">
        <f ca="1">+CJ218</f>
        <v>3.3460183710352265</v>
      </c>
      <c r="CJ218" s="266">
        <f ca="1">+CJ212/CJ42</f>
        <v>3.3460183710352265</v>
      </c>
      <c r="CK218" s="267">
        <f ca="1">+CK212/(CK42+CI42+CH42+CG42)</f>
        <v>3.2724904661489518</v>
      </c>
      <c r="CL218" s="267">
        <f ca="1">+CL212/(CL42+CK42+CI42+CH42)</f>
        <v>3.1664894000521024</v>
      </c>
      <c r="CM218" s="267">
        <f ca="1">+CM212/(CM42+CL42+CK42+CI42)</f>
        <v>3.1362049482837762</v>
      </c>
      <c r="CN218" s="267">
        <f ca="1">+CO218</f>
        <v>3.1297116951190205</v>
      </c>
      <c r="CO218" s="266">
        <f ca="1">+CO212/CO42</f>
        <v>3.1297116951190205</v>
      </c>
      <c r="CP218" s="267">
        <f ca="1">+CP212/(CP42+CN42+CM42+CL42)</f>
        <v>3.0712747284072868</v>
      </c>
      <c r="CQ218" s="267">
        <f ca="1">+CQ212/(CQ42+CP42+CN42+CM42)</f>
        <v>2.9695630136928459</v>
      </c>
      <c r="CR218" s="267">
        <f ca="1">+CR212/(CR42+CQ42+CP42+CN42)</f>
        <v>2.9407146701361508</v>
      </c>
      <c r="CS218" s="267">
        <f ca="1">+CT218</f>
        <v>2.9368734857009597</v>
      </c>
      <c r="CT218" s="266">
        <f ca="1">+CT212/CT42</f>
        <v>2.9368734857009597</v>
      </c>
      <c r="CU218" s="267">
        <f ca="1">+CU212/(CU42+CS42+CR42+CQ42)</f>
        <v>2.8846896360601222</v>
      </c>
      <c r="CV218" s="267">
        <f ca="1">+CV212/(CV42+CU42+CS42+CR42)</f>
        <v>2.7893989226859022</v>
      </c>
      <c r="CW218" s="267">
        <f ca="1">+CW212/(CW42+CV42+CU42+CS42)</f>
        <v>2.7627171889935682</v>
      </c>
      <c r="CX218" s="267">
        <f ca="1">+CY218</f>
        <v>2.7610191686294008</v>
      </c>
      <c r="CY218" s="266">
        <f ca="1">+CY212/CY42</f>
        <v>2.7610191686294008</v>
      </c>
      <c r="CZ218" s="268"/>
      <c r="DA218" s="743"/>
      <c r="DB218" s="758"/>
      <c r="DC218" s="758"/>
      <c r="DD218" s="730"/>
      <c r="DF218" s="730"/>
      <c r="DG218" s="758"/>
      <c r="DH218" s="758"/>
      <c r="DI218" s="730"/>
      <c r="DJ218" s="730"/>
      <c r="DK218" s="730"/>
      <c r="DL218" s="730"/>
      <c r="DM218" s="730"/>
      <c r="DN218" s="730"/>
      <c r="DU218" s="418"/>
      <c r="DV218" s="418"/>
      <c r="DW218" s="730"/>
      <c r="DX218" s="730"/>
      <c r="DY218" s="730"/>
      <c r="DZ218" s="730"/>
      <c r="EA218" s="730"/>
    </row>
    <row r="219" spans="1:131" x14ac:dyDescent="0.2">
      <c r="A219" s="78" t="s">
        <v>202</v>
      </c>
      <c r="B219" s="78"/>
      <c r="C219" s="48"/>
      <c r="D219" s="119"/>
      <c r="E219" s="119"/>
      <c r="F219" s="119"/>
      <c r="G219" s="119"/>
      <c r="H219" s="141">
        <f t="shared" ref="H219:AM219" si="330">H124+H212</f>
        <v>4388.3730000000005</v>
      </c>
      <c r="I219" s="119">
        <f t="shared" si="330"/>
        <v>4387.8779999999997</v>
      </c>
      <c r="J219" s="62">
        <f t="shared" si="330"/>
        <v>4364.9279999999999</v>
      </c>
      <c r="K219" s="62">
        <f t="shared" si="330"/>
        <v>4685.07</v>
      </c>
      <c r="L219" s="119">
        <f t="shared" si="330"/>
        <v>6051.5540000000001</v>
      </c>
      <c r="M219" s="141">
        <f t="shared" si="330"/>
        <v>6051.5540000000001</v>
      </c>
      <c r="N219" s="119">
        <f t="shared" si="330"/>
        <v>5822.3130000000001</v>
      </c>
      <c r="O219" s="119">
        <f t="shared" si="330"/>
        <v>5804.6859999999997</v>
      </c>
      <c r="P219" s="119">
        <f t="shared" si="330"/>
        <v>5825.5519999999997</v>
      </c>
      <c r="Q219" s="119">
        <f t="shared" si="330"/>
        <v>5774.018</v>
      </c>
      <c r="R219" s="141">
        <f t="shared" si="330"/>
        <v>5774.018</v>
      </c>
      <c r="S219" s="119">
        <f t="shared" si="330"/>
        <v>5942.9</v>
      </c>
      <c r="T219" s="119">
        <f t="shared" si="330"/>
        <v>7441.2000000000007</v>
      </c>
      <c r="U219" s="119">
        <f t="shared" si="330"/>
        <v>7619.1</v>
      </c>
      <c r="V219" s="119">
        <f t="shared" si="330"/>
        <v>7569.5</v>
      </c>
      <c r="W219" s="141">
        <f t="shared" si="330"/>
        <v>7569.5</v>
      </c>
      <c r="X219" s="119">
        <f t="shared" si="330"/>
        <v>8081.7000000000007</v>
      </c>
      <c r="Y219" s="119">
        <f t="shared" si="330"/>
        <v>7904.6</v>
      </c>
      <c r="Z219" s="119">
        <f t="shared" si="330"/>
        <v>8191.6</v>
      </c>
      <c r="AA219" s="119">
        <f t="shared" si="330"/>
        <v>8002.9</v>
      </c>
      <c r="AB219" s="141">
        <f t="shared" si="330"/>
        <v>8002.9</v>
      </c>
      <c r="AC219" s="119">
        <f t="shared" si="330"/>
        <v>8147.8000000000011</v>
      </c>
      <c r="AD219" s="119">
        <f t="shared" si="330"/>
        <v>7488.7000000000007</v>
      </c>
      <c r="AE219" s="119">
        <f t="shared" si="330"/>
        <v>6942.4</v>
      </c>
      <c r="AF219" s="119">
        <f t="shared" si="330"/>
        <v>6328.8</v>
      </c>
      <c r="AG219" s="141">
        <f t="shared" si="330"/>
        <v>6328.8</v>
      </c>
      <c r="AH219" s="119">
        <f t="shared" si="330"/>
        <v>6630.2</v>
      </c>
      <c r="AI219" s="119">
        <f t="shared" si="330"/>
        <v>6659.7000000000007</v>
      </c>
      <c r="AJ219" s="119">
        <f t="shared" si="330"/>
        <v>6744.1</v>
      </c>
      <c r="AK219" s="119">
        <f t="shared" si="330"/>
        <v>6368.3</v>
      </c>
      <c r="AL219" s="141">
        <f t="shared" si="330"/>
        <v>6368.2999999999993</v>
      </c>
      <c r="AM219" s="119">
        <f t="shared" si="330"/>
        <v>6294.2999999999993</v>
      </c>
      <c r="AN219" s="119">
        <f t="shared" ref="AN219:BS219" si="331">AN124+AN212</f>
        <v>6199.4</v>
      </c>
      <c r="AO219" s="119">
        <f t="shared" si="331"/>
        <v>6429.6</v>
      </c>
      <c r="AP219" s="119">
        <f t="shared" si="331"/>
        <v>5779</v>
      </c>
      <c r="AQ219" s="141">
        <f t="shared" si="331"/>
        <v>5779</v>
      </c>
      <c r="AR219" s="119">
        <f t="shared" si="331"/>
        <v>5694.0999999999995</v>
      </c>
      <c r="AS219" s="119">
        <f t="shared" si="331"/>
        <v>5635.5</v>
      </c>
      <c r="AT219" s="119">
        <f t="shared" si="331"/>
        <v>5686.8</v>
      </c>
      <c r="AU219" s="119">
        <f t="shared" si="331"/>
        <v>5719.7</v>
      </c>
      <c r="AV219" s="141">
        <f t="shared" si="331"/>
        <v>5719.7000000000007</v>
      </c>
      <c r="AW219" s="119">
        <f t="shared" si="331"/>
        <v>5651.7000000000007</v>
      </c>
      <c r="AX219" s="119">
        <f t="shared" si="331"/>
        <v>6427.2999999999993</v>
      </c>
      <c r="AY219" s="119">
        <f t="shared" si="331"/>
        <v>6570.2000000000007</v>
      </c>
      <c r="AZ219" s="119">
        <f t="shared" si="331"/>
        <v>5834.2</v>
      </c>
      <c r="BA219" s="141">
        <f t="shared" si="331"/>
        <v>5834.2</v>
      </c>
      <c r="BB219" s="119">
        <f t="shared" si="331"/>
        <v>7460.1</v>
      </c>
      <c r="BC219" s="119">
        <f t="shared" si="331"/>
        <v>11694.099999999999</v>
      </c>
      <c r="BD219" s="119">
        <f t="shared" si="331"/>
        <v>11859.2</v>
      </c>
      <c r="BE219" s="119">
        <f t="shared" si="331"/>
        <v>11937.900000000001</v>
      </c>
      <c r="BF219" s="141">
        <f t="shared" si="331"/>
        <v>11937.9</v>
      </c>
      <c r="BG219" s="119">
        <f t="shared" si="331"/>
        <v>12104.2</v>
      </c>
      <c r="BH219" s="119">
        <f t="shared" si="331"/>
        <v>12575</v>
      </c>
      <c r="BI219" s="119">
        <f t="shared" si="331"/>
        <v>12886.5</v>
      </c>
      <c r="BJ219" s="119">
        <f t="shared" si="331"/>
        <v>13119.2</v>
      </c>
      <c r="BK219" s="141">
        <f t="shared" si="331"/>
        <v>13119.2</v>
      </c>
      <c r="BL219" s="119">
        <f>BL124+BL212</f>
        <v>13238.8</v>
      </c>
      <c r="BM219" s="119">
        <f>BM124+BM212</f>
        <v>13258.9</v>
      </c>
      <c r="BN219" s="119">
        <f>BN124+BN212</f>
        <v>13404.1</v>
      </c>
      <c r="BO219" s="119">
        <f t="shared" si="331"/>
        <v>14689.9</v>
      </c>
      <c r="BP219" s="141">
        <f t="shared" si="331"/>
        <v>14689.899999999998</v>
      </c>
      <c r="BQ219" s="119">
        <f>BQ124+BQ212</f>
        <v>15129.5</v>
      </c>
      <c r="BR219" s="119">
        <f t="shared" si="331"/>
        <v>15025.800000000001</v>
      </c>
      <c r="BS219" s="119">
        <f t="shared" si="331"/>
        <v>15432.000000000002</v>
      </c>
      <c r="BT219" s="119">
        <f t="shared" ref="BT219:BX219" si="332">BT124+BT212</f>
        <v>15945.500000000002</v>
      </c>
      <c r="BU219" s="141">
        <f t="shared" si="332"/>
        <v>15945.500000000002</v>
      </c>
      <c r="BV219" s="119">
        <f t="shared" si="332"/>
        <v>16410.2</v>
      </c>
      <c r="BW219" s="119">
        <f>BW124+BW212</f>
        <v>16767.099999999999</v>
      </c>
      <c r="BX219" s="119">
        <f t="shared" si="332"/>
        <v>17204.800000000003</v>
      </c>
      <c r="BY219" s="119">
        <f t="shared" ref="BY219:CY219" si="333">BY124+BY212</f>
        <v>18159.100000000006</v>
      </c>
      <c r="BZ219" s="141">
        <f t="shared" si="333"/>
        <v>18159.100000000006</v>
      </c>
      <c r="CA219" s="119">
        <f t="shared" ca="1" si="333"/>
        <v>18336.68608758385</v>
      </c>
      <c r="CB219" s="119">
        <f t="shared" ca="1" si="333"/>
        <v>18462.646929013099</v>
      </c>
      <c r="CC219" s="119">
        <f t="shared" ca="1" si="333"/>
        <v>18650.130366270911</v>
      </c>
      <c r="CD219" s="119">
        <f t="shared" ca="1" si="333"/>
        <v>18855.178686602707</v>
      </c>
      <c r="CE219" s="141">
        <f t="shared" ca="1" si="333"/>
        <v>18855.178686602707</v>
      </c>
      <c r="CF219" s="119">
        <f t="shared" ca="1" si="333"/>
        <v>18926.216962008839</v>
      </c>
      <c r="CG219" s="119">
        <f t="shared" ca="1" si="333"/>
        <v>18977.182726544437</v>
      </c>
      <c r="CH219" s="119">
        <f t="shared" ca="1" si="333"/>
        <v>19104.073586880317</v>
      </c>
      <c r="CI219" s="119">
        <f t="shared" ca="1" si="333"/>
        <v>19256.334208623499</v>
      </c>
      <c r="CJ219" s="141">
        <f t="shared" ca="1" si="333"/>
        <v>19256.334208623499</v>
      </c>
      <c r="CK219" s="119">
        <f t="shared" ca="1" si="333"/>
        <v>19241.220895445906</v>
      </c>
      <c r="CL219" s="119">
        <f t="shared" ca="1" si="333"/>
        <v>19179.752474938035</v>
      </c>
      <c r="CM219" s="119">
        <f t="shared" ca="1" si="333"/>
        <v>19211.437018594967</v>
      </c>
      <c r="CN219" s="119">
        <f t="shared" ca="1" si="333"/>
        <v>19276.42824302784</v>
      </c>
      <c r="CO219" s="141">
        <f t="shared" ca="1" si="333"/>
        <v>19276.42824302784</v>
      </c>
      <c r="CP219" s="119">
        <f t="shared" ca="1" si="333"/>
        <v>19230.555007755167</v>
      </c>
      <c r="CQ219" s="119">
        <f t="shared" ca="1" si="333"/>
        <v>19100.290361416912</v>
      </c>
      <c r="CR219" s="119">
        <f t="shared" ca="1" si="333"/>
        <v>19071.914237217887</v>
      </c>
      <c r="CS219" s="119">
        <f t="shared" ca="1" si="333"/>
        <v>19087.134586269298</v>
      </c>
      <c r="CT219" s="141">
        <f t="shared" ca="1" si="333"/>
        <v>19087.134586269298</v>
      </c>
      <c r="CU219" s="119">
        <f t="shared" ca="1" si="333"/>
        <v>19045.320663063852</v>
      </c>
      <c r="CV219" s="119">
        <f t="shared" ca="1" si="333"/>
        <v>18919.82475792792</v>
      </c>
      <c r="CW219" s="119">
        <f t="shared" ca="1" si="333"/>
        <v>18894.135343651753</v>
      </c>
      <c r="CX219" s="119">
        <f t="shared" ca="1" si="333"/>
        <v>18918.698306398292</v>
      </c>
      <c r="CY219" s="141">
        <f t="shared" ca="1" si="333"/>
        <v>18918.698306398292</v>
      </c>
      <c r="CZ219" s="142"/>
      <c r="DA219" s="852"/>
      <c r="DB219" s="735"/>
      <c r="DC219" s="735"/>
      <c r="DD219" s="730"/>
      <c r="DF219" s="730"/>
      <c r="DG219" s="735"/>
      <c r="DH219" s="735"/>
      <c r="DI219" s="730"/>
      <c r="DJ219" s="730"/>
      <c r="DK219" s="730"/>
      <c r="DL219" s="730"/>
      <c r="DM219" s="730"/>
      <c r="DN219" s="730"/>
      <c r="DU219" s="418"/>
      <c r="DV219" s="418"/>
      <c r="DW219" s="730"/>
      <c r="DX219" s="730"/>
      <c r="DY219" s="730"/>
      <c r="DZ219" s="730"/>
      <c r="EA219" s="730"/>
    </row>
    <row r="220" spans="1:131" x14ac:dyDescent="0.2">
      <c r="A220" s="243"/>
      <c r="B220" s="243"/>
      <c r="C220" s="243"/>
      <c r="D220" s="95"/>
      <c r="E220" s="120"/>
      <c r="F220" s="120"/>
      <c r="G220" s="120"/>
      <c r="H220" s="98"/>
      <c r="I220" s="120"/>
      <c r="J220" s="120"/>
      <c r="K220" s="120"/>
      <c r="L220" s="120"/>
      <c r="M220" s="98"/>
      <c r="N220" s="120"/>
      <c r="O220" s="120"/>
      <c r="P220" s="120"/>
      <c r="Q220" s="120"/>
      <c r="R220" s="98"/>
      <c r="S220" s="120"/>
      <c r="T220" s="120"/>
      <c r="U220" s="120"/>
      <c r="V220" s="120"/>
      <c r="W220" s="98"/>
      <c r="X220" s="120"/>
      <c r="Y220" s="120"/>
      <c r="Z220" s="120"/>
      <c r="AA220" s="120"/>
      <c r="AB220" s="98"/>
      <c r="AC220" s="120"/>
      <c r="AD220" s="120"/>
      <c r="AE220" s="120"/>
      <c r="AF220" s="120"/>
      <c r="AG220" s="98"/>
      <c r="AH220" s="120"/>
      <c r="AI220" s="120"/>
      <c r="AJ220" s="120"/>
      <c r="AK220" s="120"/>
      <c r="AL220" s="98"/>
      <c r="AM220" s="120"/>
      <c r="AN220" s="120"/>
      <c r="AO220" s="120"/>
      <c r="AP220" s="120"/>
      <c r="AQ220" s="98"/>
      <c r="AR220" s="120"/>
      <c r="AS220" s="120"/>
      <c r="AT220" s="120"/>
      <c r="AU220" s="120"/>
      <c r="AV220" s="98"/>
      <c r="AW220" s="120"/>
      <c r="AX220" s="120"/>
      <c r="AY220" s="120"/>
      <c r="AZ220" s="120"/>
      <c r="BA220" s="98"/>
      <c r="BB220" s="120"/>
      <c r="BC220" s="120"/>
      <c r="BD220" s="120"/>
      <c r="BE220" s="120"/>
      <c r="BF220" s="98"/>
      <c r="BG220" s="120"/>
      <c r="BH220" s="120"/>
      <c r="BI220" s="120"/>
      <c r="BJ220" s="120"/>
      <c r="BK220" s="266"/>
      <c r="BL220" s="120"/>
      <c r="BM220" s="120"/>
      <c r="BN220" s="120"/>
      <c r="BO220" s="120"/>
      <c r="BP220" s="266"/>
      <c r="BQ220" s="120"/>
      <c r="BR220" s="120"/>
      <c r="BS220" s="599"/>
      <c r="BT220" s="120"/>
      <c r="BU220" s="266"/>
      <c r="BV220" s="120"/>
      <c r="BW220" s="120"/>
      <c r="BX220" s="120"/>
      <c r="BY220" s="120"/>
      <c r="BZ220" s="98"/>
      <c r="CA220" s="120"/>
      <c r="CB220" s="120"/>
      <c r="CC220" s="120"/>
      <c r="CD220" s="120"/>
      <c r="CE220" s="98"/>
      <c r="CF220" s="120"/>
      <c r="CG220" s="120"/>
      <c r="CH220" s="120"/>
      <c r="CI220" s="120"/>
      <c r="CJ220" s="98"/>
      <c r="CK220" s="120"/>
      <c r="CL220" s="120"/>
      <c r="CM220" s="120"/>
      <c r="CN220" s="120"/>
      <c r="CO220" s="98"/>
      <c r="CP220" s="120"/>
      <c r="CQ220" s="120"/>
      <c r="CR220" s="120"/>
      <c r="CS220" s="120"/>
      <c r="CT220" s="98"/>
      <c r="CU220" s="120"/>
      <c r="CV220" s="120"/>
      <c r="CW220" s="120"/>
      <c r="CX220" s="120"/>
      <c r="CY220" s="98"/>
      <c r="CZ220" s="97"/>
      <c r="DA220" s="759"/>
      <c r="DB220" s="750"/>
      <c r="DC220" s="750"/>
      <c r="DD220" s="759"/>
      <c r="DE220" s="760"/>
      <c r="DF220" s="759"/>
      <c r="DG220" s="750"/>
      <c r="DH220" s="750"/>
      <c r="DI220" s="751"/>
      <c r="DJ220" s="751"/>
      <c r="DK220" s="751"/>
      <c r="DL220" s="751"/>
      <c r="DM220" s="751"/>
      <c r="DN220" s="751"/>
      <c r="DU220" s="749"/>
      <c r="DV220" s="749"/>
      <c r="DW220" s="751"/>
      <c r="DX220" s="751"/>
      <c r="DY220" s="751"/>
      <c r="DZ220" s="751"/>
      <c r="EA220" s="751"/>
    </row>
    <row r="221" spans="1:131" x14ac:dyDescent="0.2">
      <c r="A221" s="80" t="s">
        <v>203</v>
      </c>
      <c r="B221" s="80"/>
      <c r="C221" s="241"/>
      <c r="D221" s="82"/>
      <c r="E221" s="82"/>
      <c r="F221" s="82"/>
      <c r="G221" s="82"/>
      <c r="H221" s="81" t="str">
        <f t="shared" ref="H221:AM221" si="334">H4</f>
        <v>FY2004</v>
      </c>
      <c r="I221" s="82">
        <f t="shared" si="334"/>
        <v>38131</v>
      </c>
      <c r="J221" s="82">
        <f t="shared" si="334"/>
        <v>38221</v>
      </c>
      <c r="K221" s="82">
        <f t="shared" si="334"/>
        <v>38311</v>
      </c>
      <c r="L221" s="82">
        <f t="shared" si="334"/>
        <v>38401</v>
      </c>
      <c r="M221" s="81" t="str">
        <f t="shared" si="334"/>
        <v>FY2005</v>
      </c>
      <c r="N221" s="82">
        <f t="shared" si="334"/>
        <v>38491</v>
      </c>
      <c r="O221" s="82">
        <f t="shared" si="334"/>
        <v>38581</v>
      </c>
      <c r="P221" s="82">
        <f t="shared" si="334"/>
        <v>38671</v>
      </c>
      <c r="Q221" s="82">
        <f t="shared" si="334"/>
        <v>38761</v>
      </c>
      <c r="R221" s="81" t="str">
        <f t="shared" si="334"/>
        <v>FY2006</v>
      </c>
      <c r="S221" s="82">
        <f t="shared" si="334"/>
        <v>38851</v>
      </c>
      <c r="T221" s="82">
        <f t="shared" si="334"/>
        <v>38941</v>
      </c>
      <c r="U221" s="82">
        <f t="shared" si="334"/>
        <v>39031</v>
      </c>
      <c r="V221" s="82">
        <f t="shared" si="334"/>
        <v>39121</v>
      </c>
      <c r="W221" s="81" t="str">
        <f t="shared" si="334"/>
        <v>FY2007</v>
      </c>
      <c r="X221" s="82">
        <f t="shared" si="334"/>
        <v>39211</v>
      </c>
      <c r="Y221" s="82">
        <f t="shared" si="334"/>
        <v>39301</v>
      </c>
      <c r="Z221" s="82">
        <f t="shared" si="334"/>
        <v>39391</v>
      </c>
      <c r="AA221" s="82">
        <f t="shared" si="334"/>
        <v>39481</v>
      </c>
      <c r="AB221" s="81" t="str">
        <f t="shared" si="334"/>
        <v>FY2008</v>
      </c>
      <c r="AC221" s="82">
        <f t="shared" si="334"/>
        <v>39571</v>
      </c>
      <c r="AD221" s="82">
        <f t="shared" si="334"/>
        <v>39661</v>
      </c>
      <c r="AE221" s="82">
        <f t="shared" si="334"/>
        <v>39781</v>
      </c>
      <c r="AF221" s="82">
        <f t="shared" si="334"/>
        <v>39871</v>
      </c>
      <c r="AG221" s="81" t="str">
        <f t="shared" si="334"/>
        <v>FY2009</v>
      </c>
      <c r="AH221" s="82">
        <f t="shared" si="334"/>
        <v>39961</v>
      </c>
      <c r="AI221" s="82">
        <f t="shared" si="334"/>
        <v>40051</v>
      </c>
      <c r="AJ221" s="82">
        <f t="shared" si="334"/>
        <v>40141</v>
      </c>
      <c r="AK221" s="82">
        <f t="shared" si="334"/>
        <v>40219</v>
      </c>
      <c r="AL221" s="81" t="str">
        <f t="shared" si="334"/>
        <v>FY2010</v>
      </c>
      <c r="AM221" s="82">
        <f t="shared" si="334"/>
        <v>40309</v>
      </c>
      <c r="AN221" s="82">
        <f t="shared" ref="AN221:BS221" si="335">AN4</f>
        <v>40399</v>
      </c>
      <c r="AO221" s="82">
        <f t="shared" si="335"/>
        <v>40489</v>
      </c>
      <c r="AP221" s="82">
        <f t="shared" si="335"/>
        <v>40585</v>
      </c>
      <c r="AQ221" s="81" t="str">
        <f t="shared" si="335"/>
        <v>FY2011</v>
      </c>
      <c r="AR221" s="82">
        <f t="shared" si="335"/>
        <v>40674</v>
      </c>
      <c r="AS221" s="82">
        <f t="shared" si="335"/>
        <v>40766</v>
      </c>
      <c r="AT221" s="82">
        <f t="shared" si="335"/>
        <v>40858</v>
      </c>
      <c r="AU221" s="82">
        <f t="shared" si="335"/>
        <v>40951</v>
      </c>
      <c r="AV221" s="81" t="str">
        <f t="shared" si="335"/>
        <v>FY2012</v>
      </c>
      <c r="AW221" s="82">
        <f t="shared" si="335"/>
        <v>41041</v>
      </c>
      <c r="AX221" s="82">
        <f t="shared" si="335"/>
        <v>41133</v>
      </c>
      <c r="AY221" s="82">
        <f t="shared" si="335"/>
        <v>41225</v>
      </c>
      <c r="AZ221" s="82">
        <f t="shared" si="335"/>
        <v>41318</v>
      </c>
      <c r="BA221" s="81" t="str">
        <f t="shared" si="335"/>
        <v>FY2013</v>
      </c>
      <c r="BB221" s="82">
        <f t="shared" si="335"/>
        <v>41407</v>
      </c>
      <c r="BC221" s="82">
        <f t="shared" si="335"/>
        <v>41499</v>
      </c>
      <c r="BD221" s="82">
        <f t="shared" si="335"/>
        <v>41591</v>
      </c>
      <c r="BE221" s="82">
        <f t="shared" si="335"/>
        <v>41684</v>
      </c>
      <c r="BF221" s="81" t="str">
        <f t="shared" si="335"/>
        <v>FY2014</v>
      </c>
      <c r="BG221" s="82">
        <f t="shared" si="335"/>
        <v>41773</v>
      </c>
      <c r="BH221" s="82">
        <f t="shared" si="335"/>
        <v>41865</v>
      </c>
      <c r="BI221" s="82">
        <f t="shared" si="335"/>
        <v>41957</v>
      </c>
      <c r="BJ221" s="82">
        <f t="shared" si="335"/>
        <v>42050</v>
      </c>
      <c r="BK221" s="81" t="str">
        <f t="shared" si="335"/>
        <v>FY2015</v>
      </c>
      <c r="BL221" s="82">
        <f t="shared" si="335"/>
        <v>42139</v>
      </c>
      <c r="BM221" s="82">
        <f t="shared" si="335"/>
        <v>42231</v>
      </c>
      <c r="BN221" s="82">
        <f t="shared" si="335"/>
        <v>42323</v>
      </c>
      <c r="BO221" s="82">
        <f t="shared" si="335"/>
        <v>42416</v>
      </c>
      <c r="BP221" s="81" t="str">
        <f t="shared" si="335"/>
        <v>FY2016</v>
      </c>
      <c r="BQ221" s="82">
        <f t="shared" si="335"/>
        <v>42506</v>
      </c>
      <c r="BR221" s="82">
        <f t="shared" si="335"/>
        <v>42598</v>
      </c>
      <c r="BS221" s="82">
        <f t="shared" si="335"/>
        <v>42690</v>
      </c>
      <c r="BT221" s="82">
        <f t="shared" ref="BT221:CY221" si="336">BT4</f>
        <v>42783</v>
      </c>
      <c r="BU221" s="81" t="str">
        <f t="shared" si="336"/>
        <v>FY2017</v>
      </c>
      <c r="BV221" s="82">
        <f t="shared" si="336"/>
        <v>42872</v>
      </c>
      <c r="BW221" s="82">
        <f>BW4</f>
        <v>42964</v>
      </c>
      <c r="BX221" s="82">
        <f t="shared" si="336"/>
        <v>43056</v>
      </c>
      <c r="BY221" s="82">
        <f t="shared" si="336"/>
        <v>43149</v>
      </c>
      <c r="BZ221" s="81" t="str">
        <f t="shared" si="336"/>
        <v>FY2018</v>
      </c>
      <c r="CA221" s="82" t="str">
        <f t="shared" si="336"/>
        <v>May-18 E</v>
      </c>
      <c r="CB221" s="82" t="str">
        <f t="shared" si="336"/>
        <v>Aug-18 E</v>
      </c>
      <c r="CC221" s="82" t="str">
        <f t="shared" si="336"/>
        <v>Nov-18 E</v>
      </c>
      <c r="CD221" s="82" t="str">
        <f t="shared" si="336"/>
        <v>Feb-19 E</v>
      </c>
      <c r="CE221" s="81" t="str">
        <f t="shared" si="336"/>
        <v>FY2019E</v>
      </c>
      <c r="CF221" s="82" t="str">
        <f t="shared" si="336"/>
        <v>May-19 E</v>
      </c>
      <c r="CG221" s="82" t="str">
        <f t="shared" si="336"/>
        <v>Aug-19 E</v>
      </c>
      <c r="CH221" s="82" t="str">
        <f t="shared" si="336"/>
        <v>Nov-19 E</v>
      </c>
      <c r="CI221" s="82" t="str">
        <f t="shared" si="336"/>
        <v>Feb-20 E</v>
      </c>
      <c r="CJ221" s="81" t="str">
        <f t="shared" si="336"/>
        <v>FY2020E</v>
      </c>
      <c r="CK221" s="82" t="str">
        <f t="shared" si="336"/>
        <v>May-20 E</v>
      </c>
      <c r="CL221" s="82" t="str">
        <f t="shared" si="336"/>
        <v>Aug-20 E</v>
      </c>
      <c r="CM221" s="82" t="str">
        <f t="shared" si="336"/>
        <v>Nov-20 E</v>
      </c>
      <c r="CN221" s="82" t="str">
        <f t="shared" si="336"/>
        <v>Feb-21 E</v>
      </c>
      <c r="CO221" s="81" t="str">
        <f t="shared" si="336"/>
        <v>FY2021E</v>
      </c>
      <c r="CP221" s="82" t="str">
        <f t="shared" si="336"/>
        <v>May-21 E</v>
      </c>
      <c r="CQ221" s="82" t="str">
        <f t="shared" si="336"/>
        <v>Aug-21 E</v>
      </c>
      <c r="CR221" s="82" t="str">
        <f t="shared" si="336"/>
        <v>Nov-21 E</v>
      </c>
      <c r="CS221" s="82" t="str">
        <f t="shared" si="336"/>
        <v>Feb-22 E</v>
      </c>
      <c r="CT221" s="81" t="str">
        <f t="shared" si="336"/>
        <v>FY2022E</v>
      </c>
      <c r="CU221" s="82" t="str">
        <f t="shared" si="336"/>
        <v>May-22 E</v>
      </c>
      <c r="CV221" s="82" t="str">
        <f t="shared" si="336"/>
        <v>Aug-22 E</v>
      </c>
      <c r="CW221" s="82" t="str">
        <f t="shared" si="336"/>
        <v>Nov-22 E</v>
      </c>
      <c r="CX221" s="82" t="str">
        <f t="shared" si="336"/>
        <v>Feb-23 E</v>
      </c>
      <c r="CY221" s="81" t="str">
        <f t="shared" si="336"/>
        <v>FY2023E</v>
      </c>
      <c r="CZ221" s="202"/>
      <c r="DA221" s="730"/>
      <c r="DB221" s="376"/>
      <c r="DC221" s="376"/>
      <c r="DD221" s="730"/>
      <c r="DE221" s="761"/>
      <c r="DF221" s="730"/>
      <c r="DG221" s="376"/>
      <c r="DH221" s="376"/>
      <c r="DI221" s="730"/>
      <c r="DJ221" s="730"/>
      <c r="DK221" s="730"/>
      <c r="DL221" s="730"/>
      <c r="DM221" s="730"/>
      <c r="DN221" s="730"/>
      <c r="DU221" s="418"/>
      <c r="DV221" s="418"/>
      <c r="DW221" s="730"/>
      <c r="DX221" s="730"/>
      <c r="DY221" s="730"/>
      <c r="DZ221" s="730"/>
      <c r="EA221" s="730"/>
    </row>
    <row r="222" spans="1:131" x14ac:dyDescent="0.2">
      <c r="A222" s="48"/>
      <c r="B222" s="48" t="s">
        <v>204</v>
      </c>
      <c r="C222" s="48"/>
      <c r="D222" s="119"/>
      <c r="E222" s="119"/>
      <c r="F222" s="119"/>
      <c r="G222" s="119"/>
      <c r="H222" s="141">
        <f t="shared" ref="H222:AM222" si="337">H37</f>
        <v>559.49</v>
      </c>
      <c r="I222" s="119">
        <f t="shared" si="337"/>
        <v>123.70399999999999</v>
      </c>
      <c r="J222" s="119">
        <f t="shared" si="337"/>
        <v>158.5</v>
      </c>
      <c r="K222" s="119">
        <f t="shared" si="337"/>
        <v>185.58</v>
      </c>
      <c r="L222" s="119">
        <f t="shared" si="337"/>
        <v>160.6</v>
      </c>
      <c r="M222" s="141">
        <f t="shared" si="337"/>
        <v>628.45000000000005</v>
      </c>
      <c r="N222" s="119">
        <f t="shared" si="337"/>
        <v>158.03499999999988</v>
      </c>
      <c r="O222" s="119">
        <f t="shared" si="337"/>
        <v>197.75900000000004</v>
      </c>
      <c r="P222" s="119">
        <f t="shared" si="337"/>
        <v>251.80000000000015</v>
      </c>
      <c r="Q222" s="119">
        <f t="shared" si="337"/>
        <v>162.90000000000003</v>
      </c>
      <c r="R222" s="141">
        <f t="shared" si="337"/>
        <v>770.50000000000011</v>
      </c>
      <c r="S222" s="119">
        <f t="shared" si="337"/>
        <v>165.40000000000006</v>
      </c>
      <c r="T222" s="119">
        <f t="shared" si="337"/>
        <v>237.99999999999997</v>
      </c>
      <c r="U222" s="119">
        <f t="shared" si="337"/>
        <v>291.09999999999985</v>
      </c>
      <c r="V222" s="119">
        <f t="shared" si="337"/>
        <v>200.69999999999982</v>
      </c>
      <c r="W222" s="141">
        <f t="shared" si="337"/>
        <v>895.29999999999973</v>
      </c>
      <c r="X222" s="119">
        <f t="shared" si="337"/>
        <v>158.30000000000007</v>
      </c>
      <c r="Y222" s="119">
        <f t="shared" si="337"/>
        <v>205.20000000000005</v>
      </c>
      <c r="Z222" s="119">
        <f t="shared" si="337"/>
        <v>275.29999999999995</v>
      </c>
      <c r="AA222" s="119">
        <f t="shared" si="337"/>
        <v>179.99999999999997</v>
      </c>
      <c r="AB222" s="141">
        <f t="shared" si="337"/>
        <v>818.79999999999984</v>
      </c>
      <c r="AC222" s="119">
        <f t="shared" si="337"/>
        <v>203.40000000000009</v>
      </c>
      <c r="AD222" s="119">
        <f t="shared" si="337"/>
        <v>220.3</v>
      </c>
      <c r="AE222" s="119">
        <f t="shared" si="337"/>
        <v>293.09999999999997</v>
      </c>
      <c r="AF222" s="119">
        <f t="shared" si="337"/>
        <v>151.10000000000002</v>
      </c>
      <c r="AG222" s="141">
        <f t="shared" si="337"/>
        <v>867.89999999999975</v>
      </c>
      <c r="AH222" s="119">
        <f t="shared" si="337"/>
        <v>186.10000000000002</v>
      </c>
      <c r="AI222" s="119">
        <f t="shared" si="337"/>
        <v>240.70000000000005</v>
      </c>
      <c r="AJ222" s="119">
        <f t="shared" si="337"/>
        <v>250.29999999999995</v>
      </c>
      <c r="AK222" s="119">
        <f t="shared" si="337"/>
        <v>117.50000000000003</v>
      </c>
      <c r="AL222" s="141">
        <f t="shared" si="337"/>
        <v>794.6</v>
      </c>
      <c r="AM222" s="119">
        <f t="shared" si="337"/>
        <v>158.19999999999999</v>
      </c>
      <c r="AN222" s="119">
        <f t="shared" ref="AN222:BS222" si="338">AN37</f>
        <v>216.99999999999997</v>
      </c>
      <c r="AO222" s="119">
        <f t="shared" si="338"/>
        <v>247.70000000000002</v>
      </c>
      <c r="AP222" s="119">
        <f t="shared" si="338"/>
        <v>155.19999999999999</v>
      </c>
      <c r="AQ222" s="141">
        <f t="shared" si="338"/>
        <v>778.1</v>
      </c>
      <c r="AR222" s="119">
        <f t="shared" si="338"/>
        <v>177.69999999999993</v>
      </c>
      <c r="AS222" s="119">
        <f t="shared" si="338"/>
        <v>212.60000000000002</v>
      </c>
      <c r="AT222" s="119">
        <f t="shared" si="338"/>
        <v>206.10000000000002</v>
      </c>
      <c r="AU222" s="119">
        <f t="shared" si="338"/>
        <v>172.1</v>
      </c>
      <c r="AV222" s="141">
        <f t="shared" si="338"/>
        <v>768.5</v>
      </c>
      <c r="AW222" s="119">
        <f t="shared" si="338"/>
        <v>170.19999999999996</v>
      </c>
      <c r="AX222" s="119">
        <f t="shared" si="338"/>
        <v>211.10000000000002</v>
      </c>
      <c r="AY222" s="119">
        <f t="shared" si="338"/>
        <v>225.59999999999997</v>
      </c>
      <c r="AZ222" s="119">
        <f t="shared" si="338"/>
        <v>183.89999999999998</v>
      </c>
      <c r="BA222" s="141">
        <f t="shared" si="338"/>
        <v>790.8</v>
      </c>
      <c r="BB222" s="119">
        <f t="shared" si="338"/>
        <v>170.29999999999995</v>
      </c>
      <c r="BC222" s="119">
        <f t="shared" si="338"/>
        <v>355.6</v>
      </c>
      <c r="BD222" s="119">
        <f t="shared" si="338"/>
        <v>393</v>
      </c>
      <c r="BE222" s="119">
        <f t="shared" si="338"/>
        <v>337.30000000000013</v>
      </c>
      <c r="BF222" s="141">
        <f t="shared" si="338"/>
        <v>1256.2000000000003</v>
      </c>
      <c r="BG222" s="119">
        <f t="shared" si="338"/>
        <v>405.1</v>
      </c>
      <c r="BH222" s="119">
        <f t="shared" si="338"/>
        <v>412.79999999999978</v>
      </c>
      <c r="BI222" s="119">
        <f t="shared" si="338"/>
        <v>436.50000000000006</v>
      </c>
      <c r="BJ222" s="119">
        <f t="shared" si="338"/>
        <v>350.1</v>
      </c>
      <c r="BK222" s="141">
        <f t="shared" si="338"/>
        <v>1604.5</v>
      </c>
      <c r="BL222" s="119">
        <f t="shared" si="338"/>
        <v>455.19999999999993</v>
      </c>
      <c r="BM222" s="119">
        <f t="shared" si="338"/>
        <v>501.10000000000019</v>
      </c>
      <c r="BN222" s="119">
        <f t="shared" si="338"/>
        <v>503.1</v>
      </c>
      <c r="BO222" s="119">
        <f t="shared" si="338"/>
        <v>432.80000000000007</v>
      </c>
      <c r="BP222" s="141">
        <f t="shared" si="338"/>
        <v>1892.1999999999998</v>
      </c>
      <c r="BQ222" s="119">
        <f t="shared" si="338"/>
        <v>549.4</v>
      </c>
      <c r="BR222" s="119">
        <f t="shared" si="338"/>
        <v>620.20000000000005</v>
      </c>
      <c r="BS222" s="119">
        <f t="shared" si="338"/>
        <v>559.1</v>
      </c>
      <c r="BT222" s="119">
        <f t="shared" ref="BT222:CY222" si="339">BT37</f>
        <v>495.60000000000008</v>
      </c>
      <c r="BU222" s="141">
        <f>BU37</f>
        <v>2224.3000000000002</v>
      </c>
      <c r="BV222" s="119">
        <f t="shared" si="339"/>
        <v>669.19999999999993</v>
      </c>
      <c r="BW222" s="119">
        <f>BW37</f>
        <v>710.00000000000023</v>
      </c>
      <c r="BX222" s="119">
        <f t="shared" si="339"/>
        <v>582.29999999999995</v>
      </c>
      <c r="BY222" s="119">
        <f t="shared" si="339"/>
        <v>546.30000000000018</v>
      </c>
      <c r="BZ222" s="141">
        <f t="shared" si="339"/>
        <v>2507.8000000000002</v>
      </c>
      <c r="CA222" s="119">
        <f t="shared" si="339"/>
        <v>703.6738395205</v>
      </c>
      <c r="CB222" s="119">
        <f t="shared" si="339"/>
        <v>783.5827894480002</v>
      </c>
      <c r="CC222" s="119">
        <f t="shared" si="339"/>
        <v>665.93848453575015</v>
      </c>
      <c r="CD222" s="119">
        <f t="shared" si="339"/>
        <v>604.32822189450019</v>
      </c>
      <c r="CE222" s="141">
        <f t="shared" si="339"/>
        <v>2757.5233353987496</v>
      </c>
      <c r="CF222" s="119">
        <f t="shared" si="339"/>
        <v>772.68702146468786</v>
      </c>
      <c r="CG222" s="119">
        <f t="shared" si="339"/>
        <v>859.88143072577304</v>
      </c>
      <c r="CH222" s="119">
        <f t="shared" si="339"/>
        <v>727.531476297513</v>
      </c>
      <c r="CI222" s="119">
        <f t="shared" si="339"/>
        <v>660.82708182994918</v>
      </c>
      <c r="CJ222" s="141">
        <f t="shared" si="339"/>
        <v>3020.9270103179233</v>
      </c>
      <c r="CK222" s="119">
        <f t="shared" si="339"/>
        <v>828.05011666928579</v>
      </c>
      <c r="CL222" s="119">
        <f t="shared" si="339"/>
        <v>921.18378062634838</v>
      </c>
      <c r="CM222" s="119">
        <f t="shared" si="339"/>
        <v>775.88159154363382</v>
      </c>
      <c r="CN222" s="119">
        <f t="shared" si="339"/>
        <v>706.18135526265655</v>
      </c>
      <c r="CO222" s="141">
        <f t="shared" si="339"/>
        <v>3231.2968441019248</v>
      </c>
      <c r="CP222" s="119">
        <f t="shared" si="339"/>
        <v>882.06281453360339</v>
      </c>
      <c r="CQ222" s="119">
        <f t="shared" si="339"/>
        <v>980.96586013689728</v>
      </c>
      <c r="CR222" s="119">
        <f t="shared" si="339"/>
        <v>823.22628375603495</v>
      </c>
      <c r="CS222" s="119">
        <f t="shared" si="339"/>
        <v>750.5461527100756</v>
      </c>
      <c r="CT222" s="141">
        <f t="shared" si="339"/>
        <v>3436.8011111366131</v>
      </c>
      <c r="CU222" s="119">
        <f t="shared" si="339"/>
        <v>932.69724582624713</v>
      </c>
      <c r="CV222" s="119">
        <f t="shared" si="339"/>
        <v>1037.0401320201306</v>
      </c>
      <c r="CW222" s="119">
        <f t="shared" si="339"/>
        <v>867.68479865680285</v>
      </c>
      <c r="CX222" s="119">
        <f t="shared" si="339"/>
        <v>792.13636886919619</v>
      </c>
      <c r="CY222" s="141">
        <f t="shared" si="339"/>
        <v>3629.5585453723761</v>
      </c>
      <c r="CZ222" s="142"/>
      <c r="DA222" s="730"/>
      <c r="DB222" s="735"/>
      <c r="DC222" s="735"/>
      <c r="DD222" s="730"/>
      <c r="DE222" s="761"/>
      <c r="DF222" s="730"/>
      <c r="DG222" s="735"/>
      <c r="DH222" s="735"/>
      <c r="DI222" s="730"/>
      <c r="DJ222" s="730"/>
      <c r="DK222" s="730"/>
      <c r="DL222" s="730"/>
      <c r="DM222" s="730"/>
      <c r="DN222" s="730"/>
      <c r="DU222" s="418"/>
      <c r="DV222" s="418"/>
      <c r="DW222" s="730"/>
      <c r="DX222" s="730"/>
      <c r="DY222" s="730"/>
      <c r="DZ222" s="730"/>
      <c r="EA222" s="730"/>
    </row>
    <row r="223" spans="1:131" x14ac:dyDescent="0.2">
      <c r="A223" s="48"/>
      <c r="B223" s="48" t="s">
        <v>205</v>
      </c>
      <c r="C223" s="48"/>
      <c r="D223" s="242"/>
      <c r="E223" s="242"/>
      <c r="F223" s="242"/>
      <c r="G223" s="242"/>
      <c r="H223" s="96">
        <f t="shared" ref="H223:AT223" si="340">H52</f>
        <v>0.35908268969961638</v>
      </c>
      <c r="I223" s="54">
        <f t="shared" si="340"/>
        <v>0.35986681512569058</v>
      </c>
      <c r="J223" s="54">
        <f t="shared" si="340"/>
        <v>0.36</v>
      </c>
      <c r="K223" s="54">
        <f t="shared" si="340"/>
        <v>0.35999715998941451</v>
      </c>
      <c r="L223" s="54">
        <f t="shared" si="340"/>
        <v>0.35958005249343827</v>
      </c>
      <c r="M223" s="96">
        <f t="shared" si="340"/>
        <v>0.35995924605196133</v>
      </c>
      <c r="N223" s="54">
        <f t="shared" si="340"/>
        <v>0.3567074547342759</v>
      </c>
      <c r="O223" s="54">
        <f t="shared" si="340"/>
        <v>0.3499956913409209</v>
      </c>
      <c r="P223" s="54">
        <f t="shared" si="340"/>
        <v>0.39322533136966092</v>
      </c>
      <c r="Q223" s="54">
        <f t="shared" si="340"/>
        <v>0.24826989619377154</v>
      </c>
      <c r="R223" s="96">
        <f t="shared" si="340"/>
        <v>0.34618695128249261</v>
      </c>
      <c r="S223" s="54">
        <f t="shared" si="340"/>
        <v>0.35989717223650369</v>
      </c>
      <c r="T223" s="54">
        <f t="shared" si="340"/>
        <v>0.36858006042296076</v>
      </c>
      <c r="U223" s="54">
        <f t="shared" si="340"/>
        <v>0.36146788990825712</v>
      </c>
      <c r="V223" s="54">
        <f t="shared" si="340"/>
        <v>0.32858273950910577</v>
      </c>
      <c r="W223" s="96">
        <f t="shared" si="340"/>
        <v>0.35636769869135032</v>
      </c>
      <c r="X223" s="54">
        <f t="shared" si="340"/>
        <v>0.38295165394402003</v>
      </c>
      <c r="Y223" s="54">
        <f t="shared" si="340"/>
        <v>0.34767932489451464</v>
      </c>
      <c r="Z223" s="54">
        <f t="shared" si="340"/>
        <v>0.37065837221358228</v>
      </c>
      <c r="AA223" s="54">
        <f t="shared" si="340"/>
        <v>0.15172413793103454</v>
      </c>
      <c r="AB223" s="96">
        <f t="shared" si="340"/>
        <v>0.3270440251572328</v>
      </c>
      <c r="AC223" s="54">
        <f t="shared" si="340"/>
        <v>0.36986301369862984</v>
      </c>
      <c r="AD223" s="54">
        <f t="shared" si="340"/>
        <v>0.29083094555873923</v>
      </c>
      <c r="AE223" s="54">
        <f t="shared" si="340"/>
        <v>0.3903002309468821</v>
      </c>
      <c r="AF223" s="54">
        <f t="shared" si="340"/>
        <v>0.40585241730279886</v>
      </c>
      <c r="AG223" s="96">
        <f t="shared" si="340"/>
        <v>0.3630099728014507</v>
      </c>
      <c r="AH223" s="54">
        <f t="shared" si="340"/>
        <v>0.39061190276613572</v>
      </c>
      <c r="AI223" s="54">
        <f t="shared" si="340"/>
        <v>0.31074095347501429</v>
      </c>
      <c r="AJ223" s="54">
        <f t="shared" si="340"/>
        <v>0.35373054213633937</v>
      </c>
      <c r="AK223" s="54">
        <f t="shared" si="340"/>
        <v>0.36</v>
      </c>
      <c r="AL223" s="96">
        <f t="shared" si="340"/>
        <v>0.34859389627410603</v>
      </c>
      <c r="AM223" s="54">
        <f t="shared" si="340"/>
        <v>0.24399999999999999</v>
      </c>
      <c r="AN223" s="54">
        <f t="shared" si="340"/>
        <v>0.34553089382123581</v>
      </c>
      <c r="AO223" s="54">
        <f t="shared" si="340"/>
        <v>0.28751258811681774</v>
      </c>
      <c r="AP223" s="54">
        <f t="shared" si="340"/>
        <v>0.30890538033395176</v>
      </c>
      <c r="AQ223" s="96">
        <f t="shared" si="340"/>
        <v>0.29987439945092664</v>
      </c>
      <c r="AR223" s="54">
        <f t="shared" si="340"/>
        <v>0.36956521739130432</v>
      </c>
      <c r="AS223" s="54">
        <f t="shared" si="340"/>
        <v>3.115814226925338E-2</v>
      </c>
      <c r="AT223" s="54">
        <f t="shared" si="340"/>
        <v>0.36921151439299121</v>
      </c>
      <c r="AU223" s="95">
        <v>0.32500000000000001</v>
      </c>
      <c r="AV223" s="96">
        <f t="shared" ref="AV223:CA223" si="341">AV52</f>
        <v>0.1697021276595744</v>
      </c>
      <c r="AW223" s="54">
        <f t="shared" si="341"/>
        <v>0.36401673640167365</v>
      </c>
      <c r="AX223" s="54">
        <f t="shared" si="341"/>
        <v>0.16293929712460065</v>
      </c>
      <c r="AY223" s="54">
        <f t="shared" si="341"/>
        <v>0.27771010962241172</v>
      </c>
      <c r="AZ223" s="54">
        <f t="shared" si="341"/>
        <v>0.26882591093117414</v>
      </c>
      <c r="BA223" s="96">
        <f t="shared" si="341"/>
        <v>0.26219620365442614</v>
      </c>
      <c r="BB223" s="54">
        <f t="shared" si="341"/>
        <v>0.36190476190476201</v>
      </c>
      <c r="BC223" s="54">
        <f t="shared" si="341"/>
        <v>0.28872973991707501</v>
      </c>
      <c r="BD223" s="54">
        <f t="shared" si="341"/>
        <v>0.28411338167435729</v>
      </c>
      <c r="BE223" s="54">
        <f t="shared" si="341"/>
        <v>0.34847266881028921</v>
      </c>
      <c r="BF223" s="96">
        <f t="shared" si="341"/>
        <v>0.3122186495176848</v>
      </c>
      <c r="BG223" s="54">
        <f t="shared" si="341"/>
        <v>0.32475682459993721</v>
      </c>
      <c r="BH223" s="54">
        <f t="shared" si="341"/>
        <v>0.32275777913361831</v>
      </c>
      <c r="BI223" s="54">
        <f t="shared" si="341"/>
        <v>0.29158345221112686</v>
      </c>
      <c r="BJ223" s="54">
        <f t="shared" si="341"/>
        <v>0.23165307635285395</v>
      </c>
      <c r="BK223" s="96">
        <f t="shared" si="341"/>
        <v>0.29523208083359648</v>
      </c>
      <c r="BL223" s="54">
        <f t="shared" si="341"/>
        <v>0.31797723060630134</v>
      </c>
      <c r="BM223" s="54">
        <f t="shared" si="341"/>
        <v>0.24634261444077382</v>
      </c>
      <c r="BN223" s="54">
        <f t="shared" si="341"/>
        <v>0.32257309941520468</v>
      </c>
      <c r="BO223" s="54">
        <f t="shared" si="341"/>
        <v>0.29773833381047804</v>
      </c>
      <c r="BP223" s="96">
        <f t="shared" si="341"/>
        <v>0.29550782487486538</v>
      </c>
      <c r="BQ223" s="54">
        <f t="shared" si="341"/>
        <v>0.3162650602409639</v>
      </c>
      <c r="BR223" s="54">
        <f t="shared" si="341"/>
        <v>0.31819045808781599</v>
      </c>
      <c r="BS223" s="54">
        <f t="shared" si="341"/>
        <v>0.16427829698857738</v>
      </c>
      <c r="BT223" s="54">
        <f t="shared" si="341"/>
        <v>0.26923076923076916</v>
      </c>
      <c r="BU223" s="96">
        <f t="shared" si="341"/>
        <v>0.26768905341089366</v>
      </c>
      <c r="BV223" s="54">
        <f t="shared" si="341"/>
        <v>0.19393319700068168</v>
      </c>
      <c r="BW223" s="54">
        <f>BW52</f>
        <v>0.20534436138062659</v>
      </c>
      <c r="BX223" s="54">
        <f t="shared" si="341"/>
        <v>0.18905969255340388</v>
      </c>
      <c r="BY223" s="54">
        <f>BY52</f>
        <v>0.16695690030474533</v>
      </c>
      <c r="BZ223" s="96">
        <f t="shared" si="341"/>
        <v>0.19041272175751447</v>
      </c>
      <c r="CA223" s="54">
        <f t="shared" si="341"/>
        <v>0.19</v>
      </c>
      <c r="CB223" s="54">
        <f t="shared" ref="CB223:CY223" si="342">CB52</f>
        <v>0.19</v>
      </c>
      <c r="CC223" s="54">
        <f t="shared" si="342"/>
        <v>0.19</v>
      </c>
      <c r="CD223" s="54">
        <f ca="1">CD52</f>
        <v>0.18999999999999967</v>
      </c>
      <c r="CE223" s="96">
        <f t="shared" si="342"/>
        <v>0.19</v>
      </c>
      <c r="CF223" s="54">
        <f t="shared" si="342"/>
        <v>0.19</v>
      </c>
      <c r="CG223" s="54">
        <f t="shared" si="342"/>
        <v>0.19</v>
      </c>
      <c r="CH223" s="54">
        <f t="shared" si="342"/>
        <v>0.19</v>
      </c>
      <c r="CI223" s="54">
        <f ca="1">CI52</f>
        <v>0.18999999999999997</v>
      </c>
      <c r="CJ223" s="96">
        <f t="shared" si="342"/>
        <v>0.19</v>
      </c>
      <c r="CK223" s="54">
        <f t="shared" si="342"/>
        <v>0.19</v>
      </c>
      <c r="CL223" s="54">
        <f t="shared" si="342"/>
        <v>0.19</v>
      </c>
      <c r="CM223" s="54">
        <f t="shared" si="342"/>
        <v>0.19</v>
      </c>
      <c r="CN223" s="54">
        <f ca="1">CN52</f>
        <v>0.1900000000000002</v>
      </c>
      <c r="CO223" s="96">
        <f t="shared" si="342"/>
        <v>0.19</v>
      </c>
      <c r="CP223" s="54">
        <f t="shared" si="342"/>
        <v>0.19</v>
      </c>
      <c r="CQ223" s="54">
        <f t="shared" si="342"/>
        <v>0.19</v>
      </c>
      <c r="CR223" s="54">
        <f t="shared" si="342"/>
        <v>0.19</v>
      </c>
      <c r="CS223" s="54">
        <f ca="1">CS52</f>
        <v>0.19000000000000042</v>
      </c>
      <c r="CT223" s="96">
        <f t="shared" si="342"/>
        <v>0.19</v>
      </c>
      <c r="CU223" s="54">
        <f t="shared" si="342"/>
        <v>0.19</v>
      </c>
      <c r="CV223" s="54">
        <f t="shared" si="342"/>
        <v>0.19</v>
      </c>
      <c r="CW223" s="54">
        <f t="shared" si="342"/>
        <v>0.19</v>
      </c>
      <c r="CX223" s="54">
        <f ca="1">CX52</f>
        <v>0.18999999999999972</v>
      </c>
      <c r="CY223" s="96">
        <f t="shared" si="342"/>
        <v>0.19</v>
      </c>
      <c r="CZ223" s="92"/>
      <c r="DA223" s="730"/>
      <c r="DB223" s="748"/>
      <c r="DC223" s="748"/>
      <c r="DD223" s="730"/>
      <c r="DE223" s="761"/>
      <c r="DF223" s="730"/>
      <c r="DG223" s="748"/>
      <c r="DH223" s="748"/>
      <c r="DI223" s="730"/>
      <c r="DJ223" s="730"/>
      <c r="DK223" s="730"/>
      <c r="DL223" s="730"/>
      <c r="DM223" s="730"/>
      <c r="DN223" s="730"/>
      <c r="DU223" s="418"/>
      <c r="DV223" s="418"/>
      <c r="DW223" s="730"/>
      <c r="DX223" s="730"/>
      <c r="DY223" s="730"/>
      <c r="DZ223" s="730"/>
      <c r="EA223" s="730"/>
    </row>
    <row r="224" spans="1:131" x14ac:dyDescent="0.2">
      <c r="A224" s="48"/>
      <c r="B224" s="48" t="s">
        <v>206</v>
      </c>
      <c r="C224" s="48"/>
      <c r="D224" s="119"/>
      <c r="E224" s="119"/>
      <c r="F224" s="119"/>
      <c r="G224" s="119"/>
      <c r="H224" s="141">
        <f t="shared" ref="H224:AM224" si="343">H222*(1-H223)</f>
        <v>358.58682593996161</v>
      </c>
      <c r="I224" s="119">
        <f t="shared" si="343"/>
        <v>79.187035501691582</v>
      </c>
      <c r="J224" s="119">
        <f t="shared" si="343"/>
        <v>101.44</v>
      </c>
      <c r="K224" s="119">
        <f t="shared" si="343"/>
        <v>118.77172704916447</v>
      </c>
      <c r="L224" s="119">
        <f t="shared" si="343"/>
        <v>102.85144356955381</v>
      </c>
      <c r="M224" s="141">
        <f t="shared" si="343"/>
        <v>402.23361181864487</v>
      </c>
      <c r="N224" s="119">
        <f t="shared" si="343"/>
        <v>101.66273739106863</v>
      </c>
      <c r="O224" s="119">
        <f t="shared" si="343"/>
        <v>128.54420207611085</v>
      </c>
      <c r="P224" s="119">
        <f t="shared" si="343"/>
        <v>152.78586156111945</v>
      </c>
      <c r="Q224" s="119">
        <f t="shared" si="343"/>
        <v>122.45683391003465</v>
      </c>
      <c r="R224" s="141">
        <f t="shared" si="343"/>
        <v>503.76295403683946</v>
      </c>
      <c r="S224" s="119">
        <f t="shared" si="343"/>
        <v>105.87300771208234</v>
      </c>
      <c r="T224" s="119">
        <f t="shared" si="343"/>
        <v>150.27794561933533</v>
      </c>
      <c r="U224" s="119">
        <f t="shared" si="343"/>
        <v>185.87669724770626</v>
      </c>
      <c r="V224" s="119">
        <f t="shared" si="343"/>
        <v>134.75344418052234</v>
      </c>
      <c r="W224" s="141">
        <f t="shared" si="343"/>
        <v>576.24399936163388</v>
      </c>
      <c r="X224" s="119">
        <f t="shared" si="343"/>
        <v>97.678753180661658</v>
      </c>
      <c r="Y224" s="119">
        <f t="shared" si="343"/>
        <v>133.85620253164561</v>
      </c>
      <c r="Z224" s="119">
        <f t="shared" si="343"/>
        <v>173.25775012960077</v>
      </c>
      <c r="AA224" s="119">
        <f t="shared" si="343"/>
        <v>152.68965517241375</v>
      </c>
      <c r="AB224" s="141">
        <f t="shared" si="343"/>
        <v>551.01635220125763</v>
      </c>
      <c r="AC224" s="119">
        <f t="shared" si="343"/>
        <v>128.16986301369874</v>
      </c>
      <c r="AD224" s="119">
        <f t="shared" si="343"/>
        <v>156.22994269340975</v>
      </c>
      <c r="AE224" s="119">
        <f t="shared" si="343"/>
        <v>178.70300230946881</v>
      </c>
      <c r="AF224" s="119">
        <f t="shared" si="343"/>
        <v>89.775699745547101</v>
      </c>
      <c r="AG224" s="141">
        <f t="shared" si="343"/>
        <v>552.84364460562085</v>
      </c>
      <c r="AH224" s="119">
        <f t="shared" si="343"/>
        <v>113.40712489522217</v>
      </c>
      <c r="AI224" s="119">
        <f t="shared" si="343"/>
        <v>165.9046524985641</v>
      </c>
      <c r="AJ224" s="119">
        <f t="shared" si="343"/>
        <v>161.76124530327422</v>
      </c>
      <c r="AK224" s="119">
        <f t="shared" si="343"/>
        <v>75.200000000000017</v>
      </c>
      <c r="AL224" s="141">
        <f t="shared" si="343"/>
        <v>517.60729002059543</v>
      </c>
      <c r="AM224" s="119">
        <f t="shared" si="343"/>
        <v>119.5992</v>
      </c>
      <c r="AN224" s="119">
        <f t="shared" ref="AN224:BS224" si="344">AN222*(1-AN223)</f>
        <v>142.01979604079182</v>
      </c>
      <c r="AO224" s="119">
        <f t="shared" si="344"/>
        <v>176.48313192346427</v>
      </c>
      <c r="AP224" s="119">
        <f t="shared" si="344"/>
        <v>107.25788497217067</v>
      </c>
      <c r="AQ224" s="141">
        <f t="shared" si="344"/>
        <v>544.76772978723398</v>
      </c>
      <c r="AR224" s="119">
        <f t="shared" si="344"/>
        <v>112.02826086956517</v>
      </c>
      <c r="AS224" s="119">
        <f t="shared" si="344"/>
        <v>205.97577895355676</v>
      </c>
      <c r="AT224" s="119">
        <f t="shared" si="344"/>
        <v>130.00550688360451</v>
      </c>
      <c r="AU224" s="119">
        <f t="shared" si="344"/>
        <v>116.1675</v>
      </c>
      <c r="AV224" s="141">
        <f t="shared" si="344"/>
        <v>638.08391489361713</v>
      </c>
      <c r="AW224" s="119">
        <f t="shared" si="344"/>
        <v>108.24435146443513</v>
      </c>
      <c r="AX224" s="119">
        <f t="shared" si="344"/>
        <v>176.70351437699682</v>
      </c>
      <c r="AY224" s="119">
        <f t="shared" si="344"/>
        <v>162.94859926918389</v>
      </c>
      <c r="AZ224" s="119">
        <f t="shared" si="344"/>
        <v>134.46291497975707</v>
      </c>
      <c r="BA224" s="141">
        <f t="shared" si="344"/>
        <v>583.45524215007981</v>
      </c>
      <c r="BB224" s="119">
        <f t="shared" si="344"/>
        <v>108.66761904761901</v>
      </c>
      <c r="BC224" s="119">
        <f t="shared" si="344"/>
        <v>252.92770448548816</v>
      </c>
      <c r="BD224" s="119">
        <f t="shared" si="344"/>
        <v>281.34344100197757</v>
      </c>
      <c r="BE224" s="119">
        <f t="shared" si="344"/>
        <v>219.76016881028951</v>
      </c>
      <c r="BF224" s="141">
        <f t="shared" si="344"/>
        <v>863.99093247588451</v>
      </c>
      <c r="BG224" s="119">
        <f t="shared" si="344"/>
        <v>273.5410103545654</v>
      </c>
      <c r="BH224" s="119">
        <f t="shared" si="344"/>
        <v>279.56558877364222</v>
      </c>
      <c r="BI224" s="119">
        <f t="shared" si="344"/>
        <v>309.22382310984312</v>
      </c>
      <c r="BJ224" s="119">
        <f t="shared" si="344"/>
        <v>268.99825796886586</v>
      </c>
      <c r="BK224" s="141">
        <f t="shared" si="344"/>
        <v>1130.8001263024946</v>
      </c>
      <c r="BL224" s="119">
        <f t="shared" si="344"/>
        <v>310.45676462801157</v>
      </c>
      <c r="BM224" s="119">
        <f t="shared" si="344"/>
        <v>377.65771590372833</v>
      </c>
      <c r="BN224" s="119">
        <f t="shared" si="344"/>
        <v>340.81347368421052</v>
      </c>
      <c r="BO224" s="119">
        <f t="shared" si="344"/>
        <v>303.93884912682518</v>
      </c>
      <c r="BP224" s="141">
        <f t="shared" si="344"/>
        <v>1333.0400937717795</v>
      </c>
      <c r="BQ224" s="119">
        <f t="shared" si="344"/>
        <v>375.64397590361443</v>
      </c>
      <c r="BR224" s="119">
        <f t="shared" si="344"/>
        <v>422.85827789393653</v>
      </c>
      <c r="BS224" s="119">
        <f t="shared" si="344"/>
        <v>467.25200415368636</v>
      </c>
      <c r="BT224" s="119">
        <f t="shared" ref="BT224:CY224" si="345">BT222*(1-BT223)</f>
        <v>362.16923076923086</v>
      </c>
      <c r="BU224" s="141">
        <f t="shared" si="345"/>
        <v>1628.8792384981493</v>
      </c>
      <c r="BV224" s="119">
        <f t="shared" si="345"/>
        <v>539.41990456714382</v>
      </c>
      <c r="BW224" s="119">
        <f>BW222*(1-BW223)</f>
        <v>564.20550341975525</v>
      </c>
      <c r="BX224" s="119">
        <f t="shared" si="345"/>
        <v>472.2105410261529</v>
      </c>
      <c r="BY224" s="119">
        <f>BY222*(1-BY223)</f>
        <v>455.09144536351778</v>
      </c>
      <c r="BZ224" s="141">
        <f t="shared" si="345"/>
        <v>2030.2829763765055</v>
      </c>
      <c r="CA224" s="119">
        <f t="shared" si="345"/>
        <v>569.97581001160506</v>
      </c>
      <c r="CB224" s="119">
        <f t="shared" si="345"/>
        <v>634.70205945288023</v>
      </c>
      <c r="CC224" s="119">
        <f t="shared" si="345"/>
        <v>539.41017247395769</v>
      </c>
      <c r="CD224" s="119">
        <f ca="1">CD222*(1-CD223)</f>
        <v>489.50585973454531</v>
      </c>
      <c r="CE224" s="141">
        <f t="shared" si="345"/>
        <v>2233.5939016729872</v>
      </c>
      <c r="CF224" s="119">
        <f t="shared" si="345"/>
        <v>625.87648738639723</v>
      </c>
      <c r="CG224" s="119">
        <f t="shared" si="345"/>
        <v>696.50395888787625</v>
      </c>
      <c r="CH224" s="119">
        <f t="shared" si="345"/>
        <v>589.30049580098557</v>
      </c>
      <c r="CI224" s="119">
        <f ca="1">CI222*(1-CI223)</f>
        <v>535.26993628225887</v>
      </c>
      <c r="CJ224" s="141">
        <f t="shared" si="345"/>
        <v>2446.9508783575179</v>
      </c>
      <c r="CK224" s="119">
        <f t="shared" si="345"/>
        <v>670.72059450212157</v>
      </c>
      <c r="CL224" s="119">
        <f t="shared" si="345"/>
        <v>746.15886230734225</v>
      </c>
      <c r="CM224" s="119">
        <f t="shared" si="345"/>
        <v>628.4640891503434</v>
      </c>
      <c r="CN224" s="119">
        <f ca="1">CN222*(1-CN223)</f>
        <v>572.00689776275169</v>
      </c>
      <c r="CO224" s="141">
        <f t="shared" si="345"/>
        <v>2617.3504437225592</v>
      </c>
      <c r="CP224" s="119">
        <f t="shared" si="345"/>
        <v>714.47087977221884</v>
      </c>
      <c r="CQ224" s="119">
        <f t="shared" si="345"/>
        <v>794.5823467108869</v>
      </c>
      <c r="CR224" s="119">
        <f t="shared" si="345"/>
        <v>666.81328984238837</v>
      </c>
      <c r="CS224" s="119">
        <f ca="1">CS222*(1-CS223)</f>
        <v>607.94238369516097</v>
      </c>
      <c r="CT224" s="141">
        <f t="shared" si="345"/>
        <v>2783.8089000206569</v>
      </c>
      <c r="CU224" s="119">
        <f t="shared" si="345"/>
        <v>755.48476911926025</v>
      </c>
      <c r="CV224" s="119">
        <f t="shared" si="345"/>
        <v>840.00250693630585</v>
      </c>
      <c r="CW224" s="119">
        <f t="shared" si="345"/>
        <v>702.82468691201041</v>
      </c>
      <c r="CX224" s="119">
        <f ca="1">CX222*(1-CX223)</f>
        <v>641.6304587840491</v>
      </c>
      <c r="CY224" s="141">
        <f t="shared" si="345"/>
        <v>2939.9424217516248</v>
      </c>
      <c r="CZ224" s="142"/>
      <c r="DA224" s="730"/>
      <c r="DB224" s="735"/>
      <c r="DC224" s="735"/>
      <c r="DD224" s="730"/>
      <c r="DE224" s="717"/>
      <c r="DF224" s="730"/>
      <c r="DG224" s="735"/>
      <c r="DH224" s="735"/>
      <c r="DI224" s="730"/>
      <c r="DJ224" s="730"/>
      <c r="DK224" s="730"/>
      <c r="DL224" s="730"/>
      <c r="DM224" s="730"/>
      <c r="DN224" s="730"/>
      <c r="DU224" s="418"/>
      <c r="DV224" s="418"/>
      <c r="DW224" s="730"/>
      <c r="DX224" s="730"/>
      <c r="DY224" s="730"/>
      <c r="DZ224" s="730"/>
      <c r="EA224" s="730"/>
    </row>
    <row r="225" spans="1:131" x14ac:dyDescent="0.2">
      <c r="A225" s="48"/>
      <c r="B225" s="48" t="s">
        <v>203</v>
      </c>
      <c r="C225" s="48"/>
      <c r="D225" s="90"/>
      <c r="E225" s="90"/>
      <c r="F225" s="90"/>
      <c r="G225" s="90"/>
      <c r="H225" s="98">
        <f>H224/AVERAGE(H219,C219)</f>
        <v>8.1712932319099027E-2</v>
      </c>
      <c r="I225" s="90">
        <f>(I224*4)/AVERAGE(I219)</f>
        <v>7.2187089524085757E-2</v>
      </c>
      <c r="J225" s="90">
        <f>(J224*4)/AVERAGE(J219)</f>
        <v>9.2959150758042286E-2</v>
      </c>
      <c r="K225" s="90">
        <f>(G224+I224+J224+K224)/AVERAGE(G219,I219,J219,K219)</f>
        <v>6.684064413546964E-2</v>
      </c>
      <c r="L225" s="90">
        <f>SUM(I224:L224)/AVERAGE(I219:L219)</f>
        <v>8.2557613254037668E-2</v>
      </c>
      <c r="M225" s="98">
        <f>M224/AVERAGE(M219,H219)</f>
        <v>7.7056786281866699E-2</v>
      </c>
      <c r="N225" s="90">
        <f>(J224+K224+L224+N224)/AVERAGE(J219,K219,L219,N219)</f>
        <v>8.1194541832455322E-2</v>
      </c>
      <c r="O225" s="90">
        <f>(K224+L224+N224+O224)/AVERAGE(K219,L219,N219,O219)</f>
        <v>8.0815189933383838E-2</v>
      </c>
      <c r="P225" s="90">
        <f>(L224+N224+O224+P224)/AVERAGE(L219,N219,O219,P219)</f>
        <v>8.2682449656832746E-2</v>
      </c>
      <c r="Q225" s="90">
        <f>SUM(N224:Q224)/AVERAGE(N219:Q219)</f>
        <v>8.7046801434742013E-2</v>
      </c>
      <c r="R225" s="98">
        <f>R224/AVERAGE(M219,R219)</f>
        <v>8.5198915373706996E-2</v>
      </c>
      <c r="S225" s="90">
        <f>(O224+P224+Q224+S224)/AVERAGE(O219,P219,Q219,S219)</f>
        <v>8.7318541968768648E-2</v>
      </c>
      <c r="T225" s="90">
        <f>(P224+Q224+S224+T224)/AVERAGE(P219,Q219,S219,T219)</f>
        <v>8.5078557121923512E-2</v>
      </c>
      <c r="U225" s="90">
        <f>(Q224+S224+T224+U224)/AVERAGE(Q219,S219,T219,U219)</f>
        <v>8.4323096520207377E-2</v>
      </c>
      <c r="V225" s="90">
        <f>SUM(S224:V224)/AVERAGE(S219:V219)</f>
        <v>8.0745760080026915E-2</v>
      </c>
      <c r="W225" s="98">
        <f>W224/AVERAGE(R219,W219)</f>
        <v>8.6370625701802761E-2</v>
      </c>
      <c r="X225" s="90">
        <f>(T224+U224+V224+X224)/AVERAGE(T219,U219,V219,X219)</f>
        <v>7.4055235365022939E-2</v>
      </c>
      <c r="Y225" s="90">
        <f>(U224+V224+X224+Y224)/AVERAGE(U219,V219,X219,Y219)</f>
        <v>7.0847392888578414E-2</v>
      </c>
      <c r="Z225" s="90">
        <f>(V224+X224+Y224+Z224)/AVERAGE(V219,X219,Y219,Z219)</f>
        <v>6.7979884969784021E-2</v>
      </c>
      <c r="AA225" s="90">
        <f>SUM(X224:AA224)/AVERAGE(X219:AA219)</f>
        <v>6.9293785240183176E-2</v>
      </c>
      <c r="AB225" s="98">
        <f>AB224/AVERAGE(W219,AB219)</f>
        <v>7.0768327579725371E-2</v>
      </c>
      <c r="AC225" s="90">
        <f>(Y224+Z224+AA224+AC224)/AVERAGE(Y219,Z219,AA219,AC219)</f>
        <v>7.293395282614562E-2</v>
      </c>
      <c r="AD225" s="90">
        <f>(Z224+AA224+AC224+AD224)/AVERAGE(Z219,AA219,AC219,AD219)</f>
        <v>7.6698465145188396E-2</v>
      </c>
      <c r="AE225" s="90">
        <f>(AA224+AC224+AD224+AE224)/AVERAGE(AA219,AC219,AD219,AE219)</f>
        <v>8.0543651869934535E-2</v>
      </c>
      <c r="AF225" s="90">
        <f>SUM(AC224:AF224)/AVERAGE(AC219:AF219)</f>
        <v>7.6502593808863983E-2</v>
      </c>
      <c r="AG225" s="98">
        <f>AG224/AVERAGE(AB219,AG219)</f>
        <v>7.7149765150766603E-2</v>
      </c>
      <c r="AH225" s="90">
        <f>(AD224+AE224+AF224+AH224)/AVERAGE(AD219,AE219,AF219,AH219)</f>
        <v>7.8585440672892429E-2</v>
      </c>
      <c r="AI225" s="90">
        <f>(AE224+AF224+AH224+AI224)/AVERAGE(AE219,AF219,AH219,AI219)</f>
        <v>8.2495149590762762E-2</v>
      </c>
      <c r="AJ225" s="90">
        <f>(AF224+AH224+AI224+AJ224)/AVERAGE(AF219,AH219,AI219,AJ219)</f>
        <v>8.0545120008892454E-2</v>
      </c>
      <c r="AK225" s="90">
        <f>SUM(AH224:AK224)/AVERAGE(AH219:AK219)</f>
        <v>7.8216370952085307E-2</v>
      </c>
      <c r="AL225" s="98">
        <f>AL224/AVERAGE(AG219,AL219)</f>
        <v>8.1531576504964995E-2</v>
      </c>
      <c r="AM225" s="90">
        <f>(AI224+AJ224+AK224+AM224)/AVERAGE(AI219,AJ219,AK219,AM219)</f>
        <v>8.0174492496369015E-2</v>
      </c>
      <c r="AN225" s="90">
        <f>(AJ224+AK224+AM224+AN224)/AVERAGE(AJ219,AK219,AM219,AN219)</f>
        <v>7.788460426914931E-2</v>
      </c>
      <c r="AO225" s="90">
        <f>(AK224+AM224+AN224+AO224)/AVERAGE(AK219,AM219,AN219,AO219)</f>
        <v>8.1181440156297927E-2</v>
      </c>
      <c r="AP225" s="90">
        <f>SUM(AM224:AP224)/AVERAGE(AM219:AP219)</f>
        <v>8.8309187879092518E-2</v>
      </c>
      <c r="AQ225" s="98">
        <f>AQ224/AVERAGE(AL219,AQ219)</f>
        <v>8.9693632294787162E-2</v>
      </c>
      <c r="AR225" s="90">
        <f>(AN224+AO224+AP224+AR224)/AVERAGE(AN219,AO219,AP219,AR219)</f>
        <v>8.9251820182638358E-2</v>
      </c>
      <c r="AS225" s="90">
        <f>(AO224+AP224+AR224+AS224)/AVERAGE(AO219,AP219,AR219,AS219)</f>
        <v>0.10225846610509842</v>
      </c>
      <c r="AT225" s="90">
        <f>(AP224+AR224+AS224+AT224)/AVERAGE(AP219,AR219,AS219,AT219)</f>
        <v>9.7434996828991316E-2</v>
      </c>
      <c r="AU225" s="90">
        <f>SUM(AR224:AU224)/AVERAGE(AR219:AU219)</f>
        <v>9.9256608953466344E-2</v>
      </c>
      <c r="AV225" s="98">
        <f>AV224/AVERAGE(AQ219,AV219)</f>
        <v>0.11098366161281138</v>
      </c>
      <c r="AW225" s="90">
        <f>(AS224+AT224+AU224+AW224)/AVERAGE(AS219,AT219,AU219,AW219)</f>
        <v>9.8775102746858634E-2</v>
      </c>
      <c r="AX225" s="90">
        <f>(AT224+AU224+AW224+AX224)/AVERAGE(AT219,AU219,AW219,AX219)</f>
        <v>9.0459368159083078E-2</v>
      </c>
      <c r="AY225" s="90">
        <f>(AU224+AW224+AX224+AY224)/AVERAGE(AU219,AW219,AX219,AY219)</f>
        <v>9.2587513611302241E-2</v>
      </c>
      <c r="AZ225" s="90">
        <f>SUM(AW224:AZ224)/AVERAGE(AW219:AZ219)</f>
        <v>9.514354707113766E-2</v>
      </c>
      <c r="BA225" s="98">
        <f>BA224/AVERAGE(AV219,BA219)</f>
        <v>0.10099710784238737</v>
      </c>
      <c r="BB225" s="90">
        <f>(AX224+AY224+AZ224+BB224)/AVERAGE(AX219,AY219,AZ219,BB219)</f>
        <v>8.8663788355845818E-2</v>
      </c>
      <c r="BC225" s="90">
        <f>(AY224+AZ224+BB224+BC224)/AVERAGE(AY219,AZ219,BB219,BC219)</f>
        <v>8.3528019339520546E-2</v>
      </c>
      <c r="BD225" s="90">
        <f>(AZ224+BB224+BC224+BD224)/AVERAGE(AZ219,BB219,BC219,BD219)</f>
        <v>8.4391024600228168E-2</v>
      </c>
      <c r="BE225" s="90">
        <f>SUM(BB224:BE224)/AVERAGE(BB219:BE219)</f>
        <v>8.0342055616046473E-2</v>
      </c>
      <c r="BF225" s="98">
        <f>BF224/AVERAGE(BA219,BF219)</f>
        <v>9.7230032745245026E-2</v>
      </c>
      <c r="BG225" s="90">
        <f>(BC224+BD224+BE224+BG224)/AVERAGE(BC219,BD219,BE219,BG219)</f>
        <v>8.6358961130892559E-2</v>
      </c>
      <c r="BH225" s="90">
        <f>(BD224+BE224+BG224+BH224)/AVERAGE(BD219,BE219,BG219,BH219)</f>
        <v>8.6987679252787428E-2</v>
      </c>
      <c r="BI225" s="90">
        <f>(BE224+BG224+BH224+BI224)/AVERAGE(BE219,BG219,BH219,BI219)</f>
        <v>8.7435304991826057E-2</v>
      </c>
      <c r="BJ225" s="90">
        <f>SUM(BG224:BJ224)/AVERAGE(BG219:BJ219)</f>
        <v>8.9283291884321894E-2</v>
      </c>
      <c r="BK225" s="98">
        <f>BK224/AVERAGE(BF219,BK219)</f>
        <v>9.0257861149334498E-2</v>
      </c>
      <c r="BL225" s="90">
        <f>(BH224+BI224+BJ224+BL224)/AVERAGE(BH219,BI219,BJ219,BL219)</f>
        <v>9.0177978134128103E-2</v>
      </c>
      <c r="BM225" s="90">
        <f>(BI224+BJ224+BL224+BM224)/AVERAGE(BI219,BJ219,BL219,BM219)</f>
        <v>9.6476537642167848E-2</v>
      </c>
      <c r="BN225" s="90">
        <f>(BJ224+BL224+BM224+BN224)/AVERAGE(BJ219,BL219,BM219,BN219)</f>
        <v>9.7917897601691117E-2</v>
      </c>
      <c r="BO225" s="90">
        <f>SUM(BL224:BO224)/AVERAGE(BL219:BO219)</f>
        <v>9.7660765526098342E-2</v>
      </c>
      <c r="BP225" s="98">
        <f>BP224/AVERAGE(BK219,BP219)</f>
        <v>9.5870782856818784E-2</v>
      </c>
      <c r="BQ225" s="90">
        <f>(BM224+BN224+BO224+BQ224)/AVERAGE(BM219,BN219,BO219,BQ219)</f>
        <v>9.9008116837696586E-2</v>
      </c>
      <c r="BR225" s="90">
        <f>(BN224+BO224+BQ224+BR224)/AVERAGE(BN219,BO219,BQ219,BR219)</f>
        <v>9.910880141794573E-2</v>
      </c>
      <c r="BS225" s="90">
        <f>(BO224+BQ224+BR224+BS224)/AVERAGE(BO219,BQ219,BR219,BS219)</f>
        <v>0.10416496500023639</v>
      </c>
      <c r="BT225" s="90">
        <f>SUM(BQ224:BT224)/AVERAGE(BQ219:BT219)</f>
        <v>0.10582476264499377</v>
      </c>
      <c r="BU225" s="98">
        <f>BU224/AVERAGE(BP219,BU219)</f>
        <v>0.10633967491843745</v>
      </c>
      <c r="BV225" s="90">
        <f>(BR224+BS224+BT224+BV224)/AVERAGE(BR219,BS219,BT219,BV219)</f>
        <v>0.11409645489482341</v>
      </c>
      <c r="BW225" s="90">
        <f>(BS224+BT224+BV224+BW224)/AVERAGE(BS219,BT219,BV219,BW219)</f>
        <v>0.11977709746818616</v>
      </c>
      <c r="BX225" s="90">
        <f>(BT224+BV224+BW224+BX224)/AVERAGE(BT219,BV219,BW219,BX219)</f>
        <v>0.11687473569266989</v>
      </c>
      <c r="BY225" s="90">
        <f>SUM(BV224:BY224)/AVERAGE(BV219:BY219)</f>
        <v>0.11852301356711405</v>
      </c>
      <c r="BZ225" s="98">
        <f>BZ224/AVERAGE(BU219,BZ219)</f>
        <v>0.11906211926699069</v>
      </c>
      <c r="CA225" s="90">
        <f ca="1">(BW224+BX224+BY224+CA224)/AVERAGE(BW219,BX219,BY219,CA219)</f>
        <v>0.11701722671914191</v>
      </c>
      <c r="CB225" s="90">
        <f ca="1">(BX224+BY224+CA224+CB224)/AVERAGE(BX219,BY219,CA219,CB219)</f>
        <v>0.11817540687867008</v>
      </c>
      <c r="CC225" s="90">
        <f ca="1">(BY224+CA224+CB224+CC224)/AVERAGE(BY219,CA219,CB219,CC219)</f>
        <v>0.11950671966592474</v>
      </c>
      <c r="CD225" s="90">
        <f ca="1">SUM(CA224:CD224)/AVERAGE(CA219:CD219)</f>
        <v>0.12023980410724304</v>
      </c>
      <c r="CE225" s="98">
        <f ca="1">CE224/AVERAGE(BZ219,CE219)</f>
        <v>0.12068823064659284</v>
      </c>
      <c r="CF225" s="90">
        <f ca="1">(CB224+CC224+CD224+CF224)/AVERAGE(CB219,CC219,CD219,CF219)</f>
        <v>0.12227891645257252</v>
      </c>
      <c r="CG225" s="90">
        <f ca="1">(CC224+CD224+CF224+CG224)/AVERAGE(CC219,CD219,CF219,CG219)</f>
        <v>0.12472280815974542</v>
      </c>
      <c r="CH225" s="90">
        <f ca="1">(CD224+CF224+CG224+CH224)/AVERAGE(CD219,CF219,CG219,CH219)</f>
        <v>0.12660705839871891</v>
      </c>
      <c r="CI225" s="90">
        <f ca="1">SUM(CF224:CI224)/AVERAGE(CF219:CI219)</f>
        <v>0.12834139595608582</v>
      </c>
      <c r="CJ225" s="98">
        <f ca="1">CJ224/AVERAGE(CE219,CJ219)</f>
        <v>0.12841006260153057</v>
      </c>
      <c r="CK225" s="90">
        <f ca="1">(CG224+CH224+CI224+CK224)/AVERAGE(CG219,CH219,CI219,CK219)</f>
        <v>0.130155845427708</v>
      </c>
      <c r="CL225" s="90">
        <f ca="1">(CH224+CI224+CK224+CL224)/AVERAGE(CH219,CI219,CK219,CL219)</f>
        <v>0.13239927963274603</v>
      </c>
      <c r="CM225" s="90">
        <f ca="1">(CI224+CK224+CL224+CM224)/AVERAGE(CI219,CK219,CL219,CM219)</f>
        <v>0.13425182038009431</v>
      </c>
      <c r="CN225" s="90">
        <f ca="1">SUM(CK224:CN224)/AVERAGE(CK219:CN219)</f>
        <v>0.13612741995733685</v>
      </c>
      <c r="CO225" s="98">
        <f ca="1">CO224/AVERAGE(CJ219,CO219)</f>
        <v>0.13585065161142587</v>
      </c>
      <c r="CP225" s="90">
        <f ca="1">(CL224+CM224+CN224+CP224)/AVERAGE(CL219,CM219,CN219,CP219)</f>
        <v>0.13842205264568413</v>
      </c>
      <c r="CQ225" s="90">
        <f ca="1">(CM224+CN224+CP224+CQ224)/AVERAGE(CM219,CN219,CP219,CQ219)</f>
        <v>0.14108668011462375</v>
      </c>
      <c r="CR225" s="90">
        <f ca="1">(CN224+CP224+CQ224+CR224)/AVERAGE(CN219,CP219,CQ219,CR219)</f>
        <v>0.14334389766800895</v>
      </c>
      <c r="CS225" s="90">
        <f ca="1">SUM(CP224:CS224)/AVERAGE(CP219:CS219)</f>
        <v>0.1455778664307692</v>
      </c>
      <c r="CT225" s="98">
        <f ca="1">CT224/AVERAGE(CO219,CT219)</f>
        <v>0.14512775637693082</v>
      </c>
      <c r="CU225" s="90">
        <f ca="1">(CQ224+CR224+CS224+CU224)/AVERAGE(CQ219,CR219,CS219,CU219)</f>
        <v>0.14808127288666104</v>
      </c>
      <c r="CV225" s="90">
        <f ca="1">(CR224+CS224+CU224+CV224)/AVERAGE(CR219,CS219,CU219,CV219)</f>
        <v>0.15081895988941965</v>
      </c>
      <c r="CW225" s="90">
        <f ca="1">(CS224+CU224+CV224+CW224)/AVERAGE(CS219,CU219,CV219,CW219)</f>
        <v>0.15306867786895786</v>
      </c>
      <c r="CX225" s="90">
        <f ca="1">SUM(CU224:CX224)/AVERAGE(CU219:CX219)</f>
        <v>0.15518716428135046</v>
      </c>
      <c r="CY225" s="98">
        <f ca="1">CY224/AVERAGE(CT219,CY219)</f>
        <v>0.15471006411328109</v>
      </c>
      <c r="CZ225" s="97"/>
      <c r="DA225" s="730"/>
      <c r="DB225" s="750"/>
      <c r="DC225" s="750"/>
      <c r="DD225" s="730"/>
      <c r="DE225" s="761"/>
      <c r="DF225" s="730"/>
      <c r="DG225" s="750"/>
      <c r="DH225" s="750"/>
      <c r="DI225" s="730"/>
      <c r="DJ225" s="730"/>
      <c r="DK225" s="730"/>
      <c r="DL225" s="730"/>
      <c r="DM225" s="730"/>
      <c r="DN225" s="730"/>
      <c r="DU225" s="418"/>
      <c r="DV225" s="418"/>
      <c r="DW225" s="730"/>
      <c r="DX225" s="730"/>
      <c r="DY225" s="730"/>
      <c r="DZ225" s="730"/>
      <c r="EA225" s="730"/>
    </row>
    <row r="226" spans="1:131" x14ac:dyDescent="0.2">
      <c r="A226" s="251"/>
      <c r="B226" s="251"/>
      <c r="C226" s="251"/>
      <c r="D226" s="245"/>
      <c r="E226" s="245"/>
      <c r="F226" s="259"/>
      <c r="G226" s="259"/>
      <c r="H226" s="247"/>
      <c r="I226" s="259"/>
      <c r="J226" s="259"/>
      <c r="K226" s="259"/>
      <c r="L226" s="259"/>
      <c r="M226" s="247"/>
      <c r="N226" s="259"/>
      <c r="O226" s="259"/>
      <c r="P226" s="259"/>
      <c r="Q226" s="259"/>
      <c r="R226" s="247"/>
      <c r="S226" s="259"/>
      <c r="T226" s="259"/>
      <c r="U226" s="259"/>
      <c r="V226" s="259"/>
      <c r="W226" s="247"/>
      <c r="X226" s="259"/>
      <c r="Y226" s="259"/>
      <c r="Z226" s="259"/>
      <c r="AA226" s="259"/>
      <c r="AB226" s="247"/>
      <c r="AC226" s="259"/>
      <c r="AD226" s="259"/>
      <c r="AE226" s="259"/>
      <c r="AF226" s="259"/>
      <c r="AG226" s="247"/>
      <c r="AH226" s="259"/>
      <c r="AI226" s="259"/>
      <c r="AJ226" s="259"/>
      <c r="AK226" s="259"/>
      <c r="AL226" s="247"/>
      <c r="AM226" s="259"/>
      <c r="AN226" s="259"/>
      <c r="AO226" s="259"/>
      <c r="AP226" s="259"/>
      <c r="AQ226" s="247"/>
      <c r="AR226" s="259"/>
      <c r="AS226" s="259"/>
      <c r="AT226" s="259"/>
      <c r="AU226" s="259"/>
      <c r="AV226" s="247"/>
      <c r="AW226" s="259"/>
      <c r="AX226" s="259"/>
      <c r="AY226" s="259"/>
      <c r="AZ226" s="259"/>
      <c r="BA226" s="247"/>
      <c r="BB226" s="259"/>
      <c r="BC226" s="259"/>
      <c r="BD226" s="259"/>
      <c r="BE226" s="259"/>
      <c r="BF226" s="247"/>
      <c r="BG226" s="259"/>
      <c r="BH226" s="259"/>
      <c r="BI226" s="259"/>
      <c r="BJ226" s="259"/>
      <c r="BK226" s="247"/>
      <c r="BL226" s="259"/>
      <c r="BM226" s="259"/>
      <c r="BN226" s="259"/>
      <c r="BO226" s="259"/>
      <c r="BP226" s="247"/>
      <c r="BQ226" s="259"/>
      <c r="BR226" s="259"/>
      <c r="BS226" s="259"/>
      <c r="BT226" s="259"/>
      <c r="BU226" s="247"/>
      <c r="BV226" s="259"/>
      <c r="BW226" s="259"/>
      <c r="BX226" s="259"/>
      <c r="BY226" s="259"/>
      <c r="BZ226" s="247"/>
      <c r="CA226" s="259"/>
      <c r="CB226" s="259"/>
      <c r="CC226" s="259"/>
      <c r="CD226" s="259"/>
      <c r="CE226" s="247"/>
      <c r="CF226" s="259"/>
      <c r="CG226" s="259"/>
      <c r="CH226" s="259"/>
      <c r="CI226" s="259"/>
      <c r="CJ226" s="247"/>
      <c r="CK226" s="259"/>
      <c r="CL226" s="259"/>
      <c r="CM226" s="259"/>
      <c r="CN226" s="259"/>
      <c r="CO226" s="247"/>
      <c r="CP226" s="259"/>
      <c r="CQ226" s="259"/>
      <c r="CR226" s="259"/>
      <c r="CS226" s="259"/>
      <c r="CT226" s="247"/>
      <c r="CU226" s="259"/>
      <c r="CV226" s="259"/>
      <c r="CW226" s="259"/>
      <c r="CX226" s="259"/>
      <c r="CY226" s="247"/>
      <c r="CZ226" s="249"/>
      <c r="DA226" s="755"/>
      <c r="DB226" s="753"/>
      <c r="DC226" s="753"/>
      <c r="DD226" s="755"/>
      <c r="DE226" s="717"/>
      <c r="DF226" s="755"/>
      <c r="DG226" s="753"/>
      <c r="DH226" s="753"/>
      <c r="DI226" s="755"/>
      <c r="DJ226" s="755"/>
      <c r="DK226" s="755"/>
      <c r="DL226" s="755"/>
      <c r="DM226" s="755"/>
      <c r="DN226" s="755"/>
      <c r="DU226" s="754"/>
      <c r="DV226" s="754"/>
      <c r="DW226" s="755"/>
      <c r="DX226" s="755"/>
      <c r="DY226" s="755"/>
      <c r="DZ226" s="755"/>
      <c r="EA226" s="755"/>
    </row>
    <row r="227" spans="1:131" x14ac:dyDescent="0.2">
      <c r="A227" s="80" t="s">
        <v>207</v>
      </c>
      <c r="B227" s="80"/>
      <c r="C227" s="241"/>
      <c r="D227" s="82"/>
      <c r="E227" s="82"/>
      <c r="F227" s="82"/>
      <c r="G227" s="82"/>
      <c r="H227" s="81" t="str">
        <f t="shared" ref="H227:AM227" si="346">H4</f>
        <v>FY2004</v>
      </c>
      <c r="I227" s="82">
        <f t="shared" si="346"/>
        <v>38131</v>
      </c>
      <c r="J227" s="82">
        <f t="shared" si="346"/>
        <v>38221</v>
      </c>
      <c r="K227" s="82">
        <f t="shared" si="346"/>
        <v>38311</v>
      </c>
      <c r="L227" s="82">
        <f t="shared" si="346"/>
        <v>38401</v>
      </c>
      <c r="M227" s="81" t="str">
        <f t="shared" si="346"/>
        <v>FY2005</v>
      </c>
      <c r="N227" s="82">
        <f t="shared" si="346"/>
        <v>38491</v>
      </c>
      <c r="O227" s="82">
        <f t="shared" si="346"/>
        <v>38581</v>
      </c>
      <c r="P227" s="82">
        <f t="shared" si="346"/>
        <v>38671</v>
      </c>
      <c r="Q227" s="82">
        <f t="shared" si="346"/>
        <v>38761</v>
      </c>
      <c r="R227" s="81" t="str">
        <f t="shared" si="346"/>
        <v>FY2006</v>
      </c>
      <c r="S227" s="82">
        <f t="shared" si="346"/>
        <v>38851</v>
      </c>
      <c r="T227" s="82">
        <f t="shared" si="346"/>
        <v>38941</v>
      </c>
      <c r="U227" s="82">
        <f t="shared" si="346"/>
        <v>39031</v>
      </c>
      <c r="V227" s="82">
        <f t="shared" si="346"/>
        <v>39121</v>
      </c>
      <c r="W227" s="81" t="str">
        <f t="shared" si="346"/>
        <v>FY2007</v>
      </c>
      <c r="X227" s="82">
        <f t="shared" si="346"/>
        <v>39211</v>
      </c>
      <c r="Y227" s="82">
        <f t="shared" si="346"/>
        <v>39301</v>
      </c>
      <c r="Z227" s="82">
        <f t="shared" si="346"/>
        <v>39391</v>
      </c>
      <c r="AA227" s="82">
        <f t="shared" si="346"/>
        <v>39481</v>
      </c>
      <c r="AB227" s="81" t="str">
        <f t="shared" si="346"/>
        <v>FY2008</v>
      </c>
      <c r="AC227" s="82">
        <f t="shared" si="346"/>
        <v>39571</v>
      </c>
      <c r="AD227" s="82">
        <f t="shared" si="346"/>
        <v>39661</v>
      </c>
      <c r="AE227" s="82">
        <f t="shared" si="346"/>
        <v>39781</v>
      </c>
      <c r="AF227" s="82">
        <f t="shared" si="346"/>
        <v>39871</v>
      </c>
      <c r="AG227" s="81" t="str">
        <f t="shared" si="346"/>
        <v>FY2009</v>
      </c>
      <c r="AH227" s="82">
        <f t="shared" si="346"/>
        <v>39961</v>
      </c>
      <c r="AI227" s="82">
        <f t="shared" si="346"/>
        <v>40051</v>
      </c>
      <c r="AJ227" s="82">
        <f t="shared" si="346"/>
        <v>40141</v>
      </c>
      <c r="AK227" s="82">
        <f t="shared" si="346"/>
        <v>40219</v>
      </c>
      <c r="AL227" s="81" t="str">
        <f t="shared" si="346"/>
        <v>FY2010</v>
      </c>
      <c r="AM227" s="82">
        <f t="shared" si="346"/>
        <v>40309</v>
      </c>
      <c r="AN227" s="82">
        <f t="shared" ref="AN227:BS227" si="347">AN4</f>
        <v>40399</v>
      </c>
      <c r="AO227" s="82">
        <f t="shared" si="347"/>
        <v>40489</v>
      </c>
      <c r="AP227" s="82">
        <f t="shared" si="347"/>
        <v>40585</v>
      </c>
      <c r="AQ227" s="81" t="str">
        <f t="shared" si="347"/>
        <v>FY2011</v>
      </c>
      <c r="AR227" s="82">
        <f t="shared" si="347"/>
        <v>40674</v>
      </c>
      <c r="AS227" s="82">
        <f t="shared" si="347"/>
        <v>40766</v>
      </c>
      <c r="AT227" s="82">
        <f t="shared" si="347"/>
        <v>40858</v>
      </c>
      <c r="AU227" s="82">
        <f t="shared" si="347"/>
        <v>40951</v>
      </c>
      <c r="AV227" s="81" t="str">
        <f t="shared" si="347"/>
        <v>FY2012</v>
      </c>
      <c r="AW227" s="82">
        <f t="shared" si="347"/>
        <v>41041</v>
      </c>
      <c r="AX227" s="82">
        <f t="shared" si="347"/>
        <v>41133</v>
      </c>
      <c r="AY227" s="82">
        <f t="shared" si="347"/>
        <v>41225</v>
      </c>
      <c r="AZ227" s="82">
        <f t="shared" si="347"/>
        <v>41318</v>
      </c>
      <c r="BA227" s="81" t="str">
        <f t="shared" si="347"/>
        <v>FY2013</v>
      </c>
      <c r="BB227" s="82">
        <f t="shared" si="347"/>
        <v>41407</v>
      </c>
      <c r="BC227" s="82">
        <f t="shared" si="347"/>
        <v>41499</v>
      </c>
      <c r="BD227" s="82">
        <f t="shared" si="347"/>
        <v>41591</v>
      </c>
      <c r="BE227" s="82">
        <f t="shared" si="347"/>
        <v>41684</v>
      </c>
      <c r="BF227" s="81" t="str">
        <f t="shared" si="347"/>
        <v>FY2014</v>
      </c>
      <c r="BG227" s="82">
        <f t="shared" si="347"/>
        <v>41773</v>
      </c>
      <c r="BH227" s="82">
        <f t="shared" si="347"/>
        <v>41865</v>
      </c>
      <c r="BI227" s="82">
        <f t="shared" si="347"/>
        <v>41957</v>
      </c>
      <c r="BJ227" s="82">
        <f t="shared" si="347"/>
        <v>42050</v>
      </c>
      <c r="BK227" s="81" t="str">
        <f t="shared" si="347"/>
        <v>FY2015</v>
      </c>
      <c r="BL227" s="82">
        <f t="shared" si="347"/>
        <v>42139</v>
      </c>
      <c r="BM227" s="82">
        <f t="shared" si="347"/>
        <v>42231</v>
      </c>
      <c r="BN227" s="82">
        <f t="shared" si="347"/>
        <v>42323</v>
      </c>
      <c r="BO227" s="82">
        <f t="shared" si="347"/>
        <v>42416</v>
      </c>
      <c r="BP227" s="81" t="str">
        <f t="shared" si="347"/>
        <v>FY2016</v>
      </c>
      <c r="BQ227" s="82">
        <f t="shared" si="347"/>
        <v>42506</v>
      </c>
      <c r="BR227" s="82">
        <f t="shared" si="347"/>
        <v>42598</v>
      </c>
      <c r="BS227" s="82">
        <f t="shared" si="347"/>
        <v>42690</v>
      </c>
      <c r="BT227" s="82">
        <f t="shared" ref="BT227:CY227" si="348">BT4</f>
        <v>42783</v>
      </c>
      <c r="BU227" s="81" t="str">
        <f t="shared" si="348"/>
        <v>FY2017</v>
      </c>
      <c r="BV227" s="82">
        <f t="shared" si="348"/>
        <v>42872</v>
      </c>
      <c r="BW227" s="82">
        <f>BW4</f>
        <v>42964</v>
      </c>
      <c r="BX227" s="82">
        <f t="shared" si="348"/>
        <v>43056</v>
      </c>
      <c r="BY227" s="82">
        <f t="shared" si="348"/>
        <v>43149</v>
      </c>
      <c r="BZ227" s="81" t="str">
        <f t="shared" si="348"/>
        <v>FY2018</v>
      </c>
      <c r="CA227" s="82" t="str">
        <f t="shared" si="348"/>
        <v>May-18 E</v>
      </c>
      <c r="CB227" s="82" t="str">
        <f t="shared" si="348"/>
        <v>Aug-18 E</v>
      </c>
      <c r="CC227" s="82" t="str">
        <f t="shared" si="348"/>
        <v>Nov-18 E</v>
      </c>
      <c r="CD227" s="82" t="str">
        <f t="shared" si="348"/>
        <v>Feb-19 E</v>
      </c>
      <c r="CE227" s="81" t="str">
        <f t="shared" si="348"/>
        <v>FY2019E</v>
      </c>
      <c r="CF227" s="82" t="str">
        <f t="shared" si="348"/>
        <v>May-19 E</v>
      </c>
      <c r="CG227" s="82" t="str">
        <f t="shared" si="348"/>
        <v>Aug-19 E</v>
      </c>
      <c r="CH227" s="82" t="str">
        <f t="shared" si="348"/>
        <v>Nov-19 E</v>
      </c>
      <c r="CI227" s="82" t="str">
        <f t="shared" si="348"/>
        <v>Feb-20 E</v>
      </c>
      <c r="CJ227" s="81" t="str">
        <f t="shared" si="348"/>
        <v>FY2020E</v>
      </c>
      <c r="CK227" s="82" t="str">
        <f t="shared" si="348"/>
        <v>May-20 E</v>
      </c>
      <c r="CL227" s="82" t="str">
        <f t="shared" si="348"/>
        <v>Aug-20 E</v>
      </c>
      <c r="CM227" s="82" t="str">
        <f t="shared" si="348"/>
        <v>Nov-20 E</v>
      </c>
      <c r="CN227" s="82" t="str">
        <f t="shared" si="348"/>
        <v>Feb-21 E</v>
      </c>
      <c r="CO227" s="81" t="str">
        <f t="shared" si="348"/>
        <v>FY2021E</v>
      </c>
      <c r="CP227" s="82" t="str">
        <f t="shared" si="348"/>
        <v>May-21 E</v>
      </c>
      <c r="CQ227" s="82" t="str">
        <f t="shared" si="348"/>
        <v>Aug-21 E</v>
      </c>
      <c r="CR227" s="82" t="str">
        <f t="shared" si="348"/>
        <v>Nov-21 E</v>
      </c>
      <c r="CS227" s="82" t="str">
        <f t="shared" si="348"/>
        <v>Feb-22 E</v>
      </c>
      <c r="CT227" s="81" t="str">
        <f t="shared" si="348"/>
        <v>FY2022E</v>
      </c>
      <c r="CU227" s="82" t="str">
        <f t="shared" si="348"/>
        <v>May-22 E</v>
      </c>
      <c r="CV227" s="82" t="str">
        <f t="shared" si="348"/>
        <v>Aug-22 E</v>
      </c>
      <c r="CW227" s="82" t="str">
        <f t="shared" si="348"/>
        <v>Nov-22 E</v>
      </c>
      <c r="CX227" s="82" t="str">
        <f t="shared" si="348"/>
        <v>Feb-23 E</v>
      </c>
      <c r="CY227" s="81" t="str">
        <f t="shared" si="348"/>
        <v>FY2023E</v>
      </c>
      <c r="CZ227" s="202"/>
      <c r="DA227" s="730"/>
      <c r="DB227" s="376"/>
      <c r="DC227" s="376"/>
      <c r="DD227" s="755"/>
      <c r="DE227" s="717"/>
      <c r="DF227" s="755"/>
      <c r="DG227" s="376"/>
      <c r="DH227" s="376"/>
      <c r="DI227" s="730"/>
      <c r="DJ227" s="730"/>
      <c r="DK227" s="730"/>
      <c r="DL227" s="730"/>
      <c r="DM227" s="730"/>
      <c r="DN227" s="730"/>
      <c r="DU227" s="418"/>
      <c r="DV227" s="418"/>
      <c r="DW227" s="730"/>
      <c r="DX227" s="730"/>
      <c r="DY227" s="730"/>
      <c r="DZ227" s="730"/>
      <c r="EA227" s="730"/>
    </row>
    <row r="228" spans="1:131" x14ac:dyDescent="0.2">
      <c r="A228" s="251"/>
      <c r="B228" s="251" t="s">
        <v>208</v>
      </c>
      <c r="C228" s="251"/>
      <c r="D228" s="259"/>
      <c r="E228" s="259"/>
      <c r="F228" s="259"/>
      <c r="G228" s="259"/>
      <c r="H228" s="247">
        <f t="shared" ref="H228:AM228" si="349">H186</f>
        <v>181.28356519945001</v>
      </c>
      <c r="I228" s="246">
        <f t="shared" si="349"/>
        <v>178.17986740377427</v>
      </c>
      <c r="J228" s="246">
        <f t="shared" si="349"/>
        <v>161.24616433914076</v>
      </c>
      <c r="K228" s="246">
        <f t="shared" si="349"/>
        <v>170.60229169985766</v>
      </c>
      <c r="L228" s="246">
        <f t="shared" si="349"/>
        <v>198.55134825499636</v>
      </c>
      <c r="M228" s="247">
        <f t="shared" si="349"/>
        <v>200.22371587921273</v>
      </c>
      <c r="N228" s="246">
        <f t="shared" si="349"/>
        <v>194.69459437828152</v>
      </c>
      <c r="O228" s="246">
        <f t="shared" si="349"/>
        <v>176.53077924799425</v>
      </c>
      <c r="P228" s="246">
        <f t="shared" si="349"/>
        <v>189.98620302052112</v>
      </c>
      <c r="Q228" s="246">
        <f t="shared" si="349"/>
        <v>207.04129392971245</v>
      </c>
      <c r="R228" s="247">
        <f t="shared" si="349"/>
        <v>192.33218326841032</v>
      </c>
      <c r="S228" s="246">
        <f t="shared" si="349"/>
        <v>191.56920633017623</v>
      </c>
      <c r="T228" s="246">
        <f t="shared" si="349"/>
        <v>176.72003820631409</v>
      </c>
      <c r="U228" s="246">
        <f t="shared" si="349"/>
        <v>188.59273842883368</v>
      </c>
      <c r="V228" s="246">
        <f t="shared" si="349"/>
        <v>225.47453703703704</v>
      </c>
      <c r="W228" s="247">
        <f t="shared" si="349"/>
        <v>194.70331325301203</v>
      </c>
      <c r="X228" s="246">
        <f t="shared" si="349"/>
        <v>284.15531931836279</v>
      </c>
      <c r="Y228" s="246">
        <f t="shared" si="349"/>
        <v>303.3305238589212</v>
      </c>
      <c r="Z228" s="246">
        <f t="shared" si="349"/>
        <v>267.06487455197134</v>
      </c>
      <c r="AA228" s="246">
        <f t="shared" si="349"/>
        <v>358.9232539252842</v>
      </c>
      <c r="AB228" s="247">
        <f t="shared" si="349"/>
        <v>323.65739045526664</v>
      </c>
      <c r="AC228" s="246">
        <f t="shared" si="349"/>
        <v>349.76599426063473</v>
      </c>
      <c r="AD228" s="246">
        <f t="shared" si="349"/>
        <v>306.73155909471922</v>
      </c>
      <c r="AE228" s="246">
        <f t="shared" si="349"/>
        <v>291.75521170006454</v>
      </c>
      <c r="AF228" s="246">
        <f t="shared" si="349"/>
        <v>340.8269505718954</v>
      </c>
      <c r="AG228" s="247">
        <f t="shared" si="349"/>
        <v>290.54781700256819</v>
      </c>
      <c r="AH228" s="246">
        <f t="shared" si="349"/>
        <v>326.82867675591774</v>
      </c>
      <c r="AI228" s="246">
        <f t="shared" si="349"/>
        <v>301.6856987493203</v>
      </c>
      <c r="AJ228" s="246">
        <f t="shared" si="349"/>
        <v>284.79891134085216</v>
      </c>
      <c r="AK228" s="246">
        <f t="shared" si="349"/>
        <v>355.82010993569799</v>
      </c>
      <c r="AL228" s="247">
        <f t="shared" si="349"/>
        <v>313.66040409581279</v>
      </c>
      <c r="AM228" s="246">
        <f t="shared" si="349"/>
        <v>317.84384093113482</v>
      </c>
      <c r="AN228" s="246">
        <f t="shared" ref="AN228:BS228" si="350">AN186</f>
        <v>286.85709070998359</v>
      </c>
      <c r="AO228" s="246">
        <f t="shared" si="350"/>
        <v>277.67729051190088</v>
      </c>
      <c r="AP228" s="246">
        <f t="shared" si="350"/>
        <v>271.39145308427453</v>
      </c>
      <c r="AQ228" s="247">
        <f t="shared" si="350"/>
        <v>233.85481003181729</v>
      </c>
      <c r="AR228" s="246">
        <f t="shared" si="350"/>
        <v>310.97695912522778</v>
      </c>
      <c r="AS228" s="246">
        <f t="shared" si="350"/>
        <v>282.24514861213464</v>
      </c>
      <c r="AT228" s="246">
        <f t="shared" si="350"/>
        <v>320.25029976019187</v>
      </c>
      <c r="AU228" s="246">
        <f t="shared" si="350"/>
        <v>328.24685946087408</v>
      </c>
      <c r="AV228" s="247">
        <f t="shared" si="350"/>
        <v>315.4703515060051</v>
      </c>
      <c r="AW228" s="246">
        <f t="shared" si="350"/>
        <v>315.4003651538863</v>
      </c>
      <c r="AX228" s="246">
        <f t="shared" si="350"/>
        <v>302.37223840738045</v>
      </c>
      <c r="AY228" s="246">
        <f t="shared" si="350"/>
        <v>321.76358515573224</v>
      </c>
      <c r="AZ228" s="246">
        <f t="shared" si="350"/>
        <v>312.80584490740739</v>
      </c>
      <c r="BA228" s="247">
        <f t="shared" si="350"/>
        <v>321.74315476190475</v>
      </c>
      <c r="BB228" s="246">
        <f t="shared" si="350"/>
        <v>316.85125060125057</v>
      </c>
      <c r="BC228" s="246">
        <f t="shared" si="350"/>
        <v>172.08878558310377</v>
      </c>
      <c r="BD228" s="246">
        <f t="shared" si="350"/>
        <v>200.19244647582394</v>
      </c>
      <c r="BE228" s="246">
        <f t="shared" si="350"/>
        <v>214.5654665587918</v>
      </c>
      <c r="BF228" s="247">
        <f t="shared" si="350"/>
        <v>222.54790209790212</v>
      </c>
      <c r="BG228" s="246">
        <f t="shared" si="350"/>
        <v>191.70032429245285</v>
      </c>
      <c r="BH228" s="246">
        <f t="shared" si="350"/>
        <v>178.41792152121346</v>
      </c>
      <c r="BI228" s="246">
        <f t="shared" si="350"/>
        <v>201.87923315348414</v>
      </c>
      <c r="BJ228" s="246">
        <f t="shared" si="350"/>
        <v>219.095926412615</v>
      </c>
      <c r="BK228" s="247">
        <f t="shared" si="350"/>
        <v>196.7397268355999</v>
      </c>
      <c r="BL228" s="246">
        <f t="shared" si="350"/>
        <v>183.78796860885274</v>
      </c>
      <c r="BM228" s="246">
        <f>BM186</f>
        <v>171.94398791220445</v>
      </c>
      <c r="BN228" s="246">
        <f t="shared" si="350"/>
        <v>195.1762002042901</v>
      </c>
      <c r="BO228" s="246">
        <f t="shared" si="350"/>
        <v>204.15478492025133</v>
      </c>
      <c r="BP228" s="247">
        <f t="shared" si="350"/>
        <v>191.05388138180584</v>
      </c>
      <c r="BQ228" s="246">
        <f t="shared" si="350"/>
        <v>174.81080271565494</v>
      </c>
      <c r="BR228" s="246">
        <f t="shared" si="350"/>
        <v>161.19501047419539</v>
      </c>
      <c r="BS228" s="246">
        <f t="shared" si="350"/>
        <v>209.19217687074826</v>
      </c>
      <c r="BT228" s="246">
        <f t="shared" ref="BT228:CY228" si="351">BT186</f>
        <v>211.98060242395439</v>
      </c>
      <c r="BU228" s="247">
        <f t="shared" si="351"/>
        <v>186.83374787275821</v>
      </c>
      <c r="BV228" s="246">
        <f t="shared" si="351"/>
        <v>189.53579088471849</v>
      </c>
      <c r="BW228" s="246">
        <f>BW186</f>
        <v>172.19355075298259</v>
      </c>
      <c r="BX228" s="246">
        <f t="shared" si="351"/>
        <v>222.7906059923406</v>
      </c>
      <c r="BY228" s="246">
        <f t="shared" si="351"/>
        <v>212.04839429081181</v>
      </c>
      <c r="BZ228" s="247">
        <f t="shared" si="351"/>
        <v>203.40134235366475</v>
      </c>
      <c r="CA228" s="246">
        <f t="shared" si="351"/>
        <v>189.53579088471849</v>
      </c>
      <c r="CB228" s="246">
        <f t="shared" si="351"/>
        <v>172.19355075298259</v>
      </c>
      <c r="CC228" s="246">
        <f t="shared" si="351"/>
        <v>222.7906059923406</v>
      </c>
      <c r="CD228" s="246">
        <f t="shared" si="351"/>
        <v>212.04839429081181</v>
      </c>
      <c r="CE228" s="247">
        <f t="shared" si="351"/>
        <v>201.11941455618896</v>
      </c>
      <c r="CF228" s="246">
        <f t="shared" si="351"/>
        <v>186.79829088471851</v>
      </c>
      <c r="CG228" s="246">
        <f t="shared" si="351"/>
        <v>169.45605075298261</v>
      </c>
      <c r="CH228" s="246">
        <f t="shared" si="351"/>
        <v>220.05310599234062</v>
      </c>
      <c r="CI228" s="246">
        <f t="shared" si="351"/>
        <v>209.31089429081183</v>
      </c>
      <c r="CJ228" s="247">
        <f t="shared" si="351"/>
        <v>198.15295032899272</v>
      </c>
      <c r="CK228" s="246">
        <f t="shared" si="351"/>
        <v>184.06079088471853</v>
      </c>
      <c r="CL228" s="246">
        <f t="shared" si="351"/>
        <v>166.71855075298257</v>
      </c>
      <c r="CM228" s="246">
        <f t="shared" si="351"/>
        <v>217.31560599234064</v>
      </c>
      <c r="CN228" s="246">
        <f t="shared" si="351"/>
        <v>206.57339429081185</v>
      </c>
      <c r="CO228" s="247">
        <f t="shared" si="351"/>
        <v>195.30036630075793</v>
      </c>
      <c r="CP228" s="246">
        <f t="shared" si="351"/>
        <v>184.06079088471853</v>
      </c>
      <c r="CQ228" s="246">
        <f t="shared" si="351"/>
        <v>166.71855075298259</v>
      </c>
      <c r="CR228" s="246">
        <f t="shared" si="351"/>
        <v>217.31560599234064</v>
      </c>
      <c r="CS228" s="246">
        <f t="shared" si="351"/>
        <v>206.57339429081185</v>
      </c>
      <c r="CT228" s="247">
        <f t="shared" si="351"/>
        <v>195.08886112721873</v>
      </c>
      <c r="CU228" s="246">
        <f t="shared" si="351"/>
        <v>184.06079088471853</v>
      </c>
      <c r="CV228" s="246">
        <f t="shared" si="351"/>
        <v>166.71855075298259</v>
      </c>
      <c r="CW228" s="246">
        <f t="shared" si="351"/>
        <v>217.31560599234064</v>
      </c>
      <c r="CX228" s="246">
        <f t="shared" si="351"/>
        <v>206.57339429081185</v>
      </c>
      <c r="CY228" s="247">
        <f t="shared" si="351"/>
        <v>194.90009600311797</v>
      </c>
      <c r="CZ228" s="249"/>
      <c r="DA228" s="755"/>
      <c r="DB228" s="753"/>
      <c r="DC228" s="753"/>
      <c r="DD228" s="755"/>
      <c r="DE228" s="756"/>
      <c r="DF228" s="755"/>
      <c r="DG228" s="753"/>
      <c r="DH228" s="753"/>
      <c r="DI228" s="755"/>
      <c r="DJ228" s="755"/>
      <c r="DK228" s="755"/>
      <c r="DL228" s="755"/>
      <c r="DM228" s="755"/>
      <c r="DN228" s="755"/>
      <c r="DU228" s="754"/>
      <c r="DV228" s="754"/>
      <c r="DW228" s="755"/>
      <c r="DX228" s="755"/>
      <c r="DY228" s="755"/>
      <c r="DZ228" s="755"/>
      <c r="EA228" s="755"/>
    </row>
    <row r="229" spans="1:131" x14ac:dyDescent="0.2">
      <c r="A229" s="251"/>
      <c r="B229" s="251" t="s">
        <v>209</v>
      </c>
      <c r="C229" s="251"/>
      <c r="D229" s="259"/>
      <c r="E229" s="259"/>
      <c r="F229" s="259"/>
      <c r="G229" s="259"/>
      <c r="H229" s="247">
        <f t="shared" ref="H229:AM229" si="352">H184</f>
        <v>65.50696198173199</v>
      </c>
      <c r="I229" s="246">
        <f t="shared" si="352"/>
        <v>70.048192072726891</v>
      </c>
      <c r="J229" s="246">
        <f t="shared" si="352"/>
        <v>69.438513136234363</v>
      </c>
      <c r="K229" s="246">
        <f t="shared" si="352"/>
        <v>76.172596805227172</v>
      </c>
      <c r="L229" s="246">
        <f t="shared" si="352"/>
        <v>74.714514865358424</v>
      </c>
      <c r="M229" s="247">
        <f t="shared" si="352"/>
        <v>75.867611075149028</v>
      </c>
      <c r="N229" s="246">
        <f t="shared" si="352"/>
        <v>68.422666627148246</v>
      </c>
      <c r="O229" s="246">
        <f t="shared" si="352"/>
        <v>68.182553888179044</v>
      </c>
      <c r="P229" s="246">
        <f t="shared" si="352"/>
        <v>69.820400915476284</v>
      </c>
      <c r="Q229" s="246">
        <f t="shared" si="352"/>
        <v>67.214041177593273</v>
      </c>
      <c r="R229" s="247">
        <f t="shared" si="352"/>
        <v>61.200038014554146</v>
      </c>
      <c r="S229" s="246">
        <f t="shared" si="352"/>
        <v>67.432952677567258</v>
      </c>
      <c r="T229" s="246">
        <f t="shared" si="352"/>
        <v>65.815873015873024</v>
      </c>
      <c r="U229" s="246">
        <f t="shared" si="352"/>
        <v>70.504730810234534</v>
      </c>
      <c r="V229" s="246">
        <f t="shared" si="352"/>
        <v>70.382813867974093</v>
      </c>
      <c r="W229" s="247">
        <f t="shared" si="352"/>
        <v>61.645004217467992</v>
      </c>
      <c r="X229" s="246">
        <f t="shared" si="352"/>
        <v>77.347841766533506</v>
      </c>
      <c r="Y229" s="246">
        <f t="shared" si="352"/>
        <v>80.198997311225639</v>
      </c>
      <c r="Z229" s="246">
        <f t="shared" si="352"/>
        <v>78.22262056996712</v>
      </c>
      <c r="AA229" s="246">
        <f t="shared" si="352"/>
        <v>75.484509271822702</v>
      </c>
      <c r="AB229" s="247">
        <f t="shared" si="352"/>
        <v>70.774980121918901</v>
      </c>
      <c r="AC229" s="246">
        <f t="shared" si="352"/>
        <v>77.471426271732128</v>
      </c>
      <c r="AD229" s="246">
        <f t="shared" si="352"/>
        <v>74.020778881338202</v>
      </c>
      <c r="AE229" s="246">
        <f t="shared" si="352"/>
        <v>71.977065554693553</v>
      </c>
      <c r="AF229" s="246">
        <f t="shared" si="352"/>
        <v>65.120051693647127</v>
      </c>
      <c r="AG229" s="247">
        <f t="shared" si="352"/>
        <v>52.393969244240147</v>
      </c>
      <c r="AH229" s="246">
        <f t="shared" si="352"/>
        <v>82.523844113188474</v>
      </c>
      <c r="AI229" s="246">
        <f t="shared" si="352"/>
        <v>81.935589644160572</v>
      </c>
      <c r="AJ229" s="246">
        <f t="shared" si="352"/>
        <v>83.304773716715616</v>
      </c>
      <c r="AK229" s="246">
        <f t="shared" si="352"/>
        <v>66.271165514321993</v>
      </c>
      <c r="AL229" s="247">
        <f t="shared" si="352"/>
        <v>55.832590347123165</v>
      </c>
      <c r="AM229" s="246">
        <f t="shared" si="352"/>
        <v>73.7531746031746</v>
      </c>
      <c r="AN229" s="246">
        <f t="shared" ref="AN229:BS229" si="353">AN184</f>
        <v>76.221459202596208</v>
      </c>
      <c r="AO229" s="246">
        <f t="shared" si="353"/>
        <v>82.043796564569533</v>
      </c>
      <c r="AP229" s="246">
        <f t="shared" si="353"/>
        <v>53.247238920732556</v>
      </c>
      <c r="AQ229" s="247">
        <f t="shared" si="353"/>
        <v>45.723589435774308</v>
      </c>
      <c r="AR229" s="246">
        <f t="shared" si="353"/>
        <v>65.970604438847801</v>
      </c>
      <c r="AS229" s="246">
        <f t="shared" si="353"/>
        <v>66.328781512605033</v>
      </c>
      <c r="AT229" s="246">
        <f t="shared" si="353"/>
        <v>74.125160553731988</v>
      </c>
      <c r="AU229" s="246">
        <f t="shared" si="353"/>
        <v>63.574271612800516</v>
      </c>
      <c r="AV229" s="247">
        <f t="shared" si="353"/>
        <v>60.175564178879554</v>
      </c>
      <c r="AW229" s="246">
        <f t="shared" si="353"/>
        <v>65.806947069943305</v>
      </c>
      <c r="AX229" s="246">
        <f t="shared" si="353"/>
        <v>63.633321403006441</v>
      </c>
      <c r="AY229" s="246">
        <f t="shared" si="353"/>
        <v>64.145097144347375</v>
      </c>
      <c r="AZ229" s="246">
        <f t="shared" si="353"/>
        <v>61.877963787900562</v>
      </c>
      <c r="BA229" s="247">
        <f t="shared" si="353"/>
        <v>61.601337577339862</v>
      </c>
      <c r="BB229" s="246">
        <f t="shared" si="353"/>
        <v>61.492797742797748</v>
      </c>
      <c r="BC229" s="246">
        <f t="shared" si="353"/>
        <v>40.999366351555004</v>
      </c>
      <c r="BD229" s="246">
        <f t="shared" si="353"/>
        <v>42.283655511674631</v>
      </c>
      <c r="BE229" s="246">
        <f t="shared" si="353"/>
        <v>44.253988537794299</v>
      </c>
      <c r="BF229" s="247">
        <f t="shared" si="353"/>
        <v>46.955030096349411</v>
      </c>
      <c r="BG229" s="246">
        <f t="shared" si="353"/>
        <v>38.945691349934464</v>
      </c>
      <c r="BH229" s="246">
        <f t="shared" si="353"/>
        <v>37.286716222941031</v>
      </c>
      <c r="BI229" s="246">
        <f t="shared" si="353"/>
        <v>41.513866363931236</v>
      </c>
      <c r="BJ229" s="246">
        <f t="shared" si="353"/>
        <v>40.394430482666863</v>
      </c>
      <c r="BK229" s="247">
        <f t="shared" si="353"/>
        <v>36.263852023888518</v>
      </c>
      <c r="BL229" s="246">
        <f t="shared" si="353"/>
        <v>38.943327407589038</v>
      </c>
      <c r="BM229" s="246">
        <f>BM184</f>
        <v>38.086636090919576</v>
      </c>
      <c r="BN229" s="246">
        <f t="shared" si="353"/>
        <v>39.753962206644317</v>
      </c>
      <c r="BO229" s="246">
        <f t="shared" si="353"/>
        <v>43.313002203214097</v>
      </c>
      <c r="BP229" s="247">
        <f t="shared" si="353"/>
        <v>40.828675707042947</v>
      </c>
      <c r="BQ229" s="246">
        <f t="shared" si="353"/>
        <v>37.698271717063783</v>
      </c>
      <c r="BR229" s="246">
        <f t="shared" si="353"/>
        <v>37.5212126459529</v>
      </c>
      <c r="BS229" s="246">
        <f t="shared" si="353"/>
        <v>43.142778238055783</v>
      </c>
      <c r="BT229" s="246">
        <f t="shared" ref="BT229:CY229" si="354">BT184</f>
        <v>41.309121621621621</v>
      </c>
      <c r="BU229" s="247">
        <f t="shared" si="354"/>
        <v>36.691672918229557</v>
      </c>
      <c r="BV229" s="246">
        <f t="shared" si="354"/>
        <v>39.225006458279516</v>
      </c>
      <c r="BW229" s="246">
        <f>BW184</f>
        <v>37.353621971695844</v>
      </c>
      <c r="BX229" s="246">
        <f t="shared" si="354"/>
        <v>39.536087488188542</v>
      </c>
      <c r="BY229" s="246">
        <f t="shared" si="354"/>
        <v>40.108867999320459</v>
      </c>
      <c r="BZ229" s="247">
        <f t="shared" si="354"/>
        <v>37.351746868820044</v>
      </c>
      <c r="CA229" s="246">
        <f t="shared" si="354"/>
        <v>38.495006458279512</v>
      </c>
      <c r="CB229" s="246">
        <f t="shared" si="354"/>
        <v>36.623621971695847</v>
      </c>
      <c r="CC229" s="246">
        <f t="shared" si="354"/>
        <v>38.806087488188538</v>
      </c>
      <c r="CD229" s="246">
        <f t="shared" si="354"/>
        <v>39.378867999320462</v>
      </c>
      <c r="CE229" s="247">
        <f t="shared" si="354"/>
        <v>36.40652949001263</v>
      </c>
      <c r="CF229" s="246">
        <f t="shared" si="354"/>
        <v>38.495006458279512</v>
      </c>
      <c r="CG229" s="246">
        <f t="shared" si="354"/>
        <v>36.623621971695847</v>
      </c>
      <c r="CH229" s="246">
        <f t="shared" si="354"/>
        <v>38.806087488188538</v>
      </c>
      <c r="CI229" s="246">
        <f t="shared" si="354"/>
        <v>39.378867999320462</v>
      </c>
      <c r="CJ229" s="247">
        <f t="shared" si="354"/>
        <v>36.318097633102859</v>
      </c>
      <c r="CK229" s="246">
        <f t="shared" si="354"/>
        <v>38.495006458279512</v>
      </c>
      <c r="CL229" s="246">
        <f t="shared" si="354"/>
        <v>36.623621971695847</v>
      </c>
      <c r="CM229" s="246">
        <f t="shared" si="354"/>
        <v>38.806087488188538</v>
      </c>
      <c r="CN229" s="246">
        <f t="shared" si="354"/>
        <v>39.378867999320462</v>
      </c>
      <c r="CO229" s="247">
        <f t="shared" si="354"/>
        <v>36.259544697017581</v>
      </c>
      <c r="CP229" s="246">
        <f t="shared" si="354"/>
        <v>38.495006458279512</v>
      </c>
      <c r="CQ229" s="246">
        <f t="shared" si="354"/>
        <v>36.623621971695854</v>
      </c>
      <c r="CR229" s="246">
        <f t="shared" si="354"/>
        <v>38.806087488188538</v>
      </c>
      <c r="CS229" s="246">
        <f t="shared" si="354"/>
        <v>39.378867999320462</v>
      </c>
      <c r="CT229" s="247">
        <f t="shared" si="354"/>
        <v>36.213551510787042</v>
      </c>
      <c r="CU229" s="246">
        <f t="shared" si="354"/>
        <v>38.495006458279512</v>
      </c>
      <c r="CV229" s="246">
        <f t="shared" si="354"/>
        <v>36.623621971695847</v>
      </c>
      <c r="CW229" s="246">
        <f t="shared" si="354"/>
        <v>38.806087488188538</v>
      </c>
      <c r="CX229" s="246">
        <f t="shared" si="354"/>
        <v>39.378867999320462</v>
      </c>
      <c r="CY229" s="247">
        <f t="shared" si="354"/>
        <v>36.171878670563267</v>
      </c>
      <c r="CZ229" s="249"/>
      <c r="DA229" s="755"/>
      <c r="DB229" s="753"/>
      <c r="DC229" s="753"/>
      <c r="DD229" s="755"/>
      <c r="DE229" s="756"/>
      <c r="DF229" s="755"/>
      <c r="DG229" s="753"/>
      <c r="DH229" s="753"/>
      <c r="DI229" s="755"/>
      <c r="DJ229" s="755"/>
      <c r="DK229" s="755"/>
      <c r="DL229" s="755"/>
      <c r="DM229" s="755"/>
      <c r="DN229" s="755"/>
      <c r="DU229" s="754"/>
      <c r="DV229" s="754"/>
      <c r="DW229" s="755"/>
      <c r="DX229" s="755"/>
      <c r="DY229" s="755"/>
      <c r="DZ229" s="755"/>
      <c r="EA229" s="755"/>
    </row>
    <row r="230" spans="1:131" x14ac:dyDescent="0.2">
      <c r="A230" s="251"/>
      <c r="B230" s="251" t="s">
        <v>210</v>
      </c>
      <c r="C230" s="251"/>
      <c r="D230" s="259"/>
      <c r="E230" s="259"/>
      <c r="F230" s="259"/>
      <c r="G230" s="259"/>
      <c r="H230" s="247">
        <f t="shared" ref="H230:AM230" si="355">H193</f>
        <v>38.845862319879167</v>
      </c>
      <c r="I230" s="246">
        <f t="shared" si="355"/>
        <v>48.970081974513981</v>
      </c>
      <c r="J230" s="246">
        <f t="shared" si="355"/>
        <v>49.284605700763514</v>
      </c>
      <c r="K230" s="246">
        <f t="shared" si="355"/>
        <v>45.31681361367896</v>
      </c>
      <c r="L230" s="246">
        <f t="shared" si="355"/>
        <v>42.638026285694174</v>
      </c>
      <c r="M230" s="247">
        <f t="shared" si="355"/>
        <v>42.997159856668986</v>
      </c>
      <c r="N230" s="246">
        <f t="shared" si="355"/>
        <v>45.242542258932005</v>
      </c>
      <c r="O230" s="246">
        <f t="shared" si="355"/>
        <v>39.564321638127169</v>
      </c>
      <c r="P230" s="246">
        <f t="shared" si="355"/>
        <v>51.09768561217431</v>
      </c>
      <c r="Q230" s="246">
        <f t="shared" si="355"/>
        <v>38.001276291267303</v>
      </c>
      <c r="R230" s="247">
        <f t="shared" si="355"/>
        <v>35.301500958387436</v>
      </c>
      <c r="S230" s="246">
        <f t="shared" si="355"/>
        <v>39.93076369739839</v>
      </c>
      <c r="T230" s="246">
        <f t="shared" si="355"/>
        <v>38.560602252161672</v>
      </c>
      <c r="U230" s="246">
        <f t="shared" si="355"/>
        <v>47.91308338969948</v>
      </c>
      <c r="V230" s="246">
        <f t="shared" si="355"/>
        <v>43.530092592592595</v>
      </c>
      <c r="W230" s="247">
        <f t="shared" si="355"/>
        <v>37.589403066812707</v>
      </c>
      <c r="X230" s="246">
        <f t="shared" si="355"/>
        <v>39.325131390348787</v>
      </c>
      <c r="Y230" s="246">
        <f t="shared" si="355"/>
        <v>44.378673928077461</v>
      </c>
      <c r="Z230" s="246">
        <f t="shared" si="355"/>
        <v>45.893189964157713</v>
      </c>
      <c r="AA230" s="246">
        <f t="shared" si="355"/>
        <v>57.539704024544299</v>
      </c>
      <c r="AB230" s="247">
        <f t="shared" si="355"/>
        <v>51.886162984661695</v>
      </c>
      <c r="AC230" s="246">
        <f t="shared" si="355"/>
        <v>56.992741390952062</v>
      </c>
      <c r="AD230" s="246">
        <f t="shared" si="355"/>
        <v>53.18964794635373</v>
      </c>
      <c r="AE230" s="246">
        <f t="shared" si="355"/>
        <v>50.815691661279885</v>
      </c>
      <c r="AF230" s="246">
        <f t="shared" si="355"/>
        <v>53.806934232026137</v>
      </c>
      <c r="AG230" s="247">
        <f t="shared" si="355"/>
        <v>45.869281330257252</v>
      </c>
      <c r="AH230" s="246">
        <f t="shared" si="355"/>
        <v>48.900368645712071</v>
      </c>
      <c r="AI230" s="246">
        <f t="shared" si="355"/>
        <v>49.371261555193037</v>
      </c>
      <c r="AJ230" s="246">
        <f t="shared" si="355"/>
        <v>53.843789160401009</v>
      </c>
      <c r="AK230" s="246">
        <f t="shared" si="355"/>
        <v>50.877411325451156</v>
      </c>
      <c r="AL230" s="247">
        <f t="shared" si="355"/>
        <v>44.849149753154144</v>
      </c>
      <c r="AM230" s="246">
        <f t="shared" si="355"/>
        <v>39.792434529582927</v>
      </c>
      <c r="AN230" s="246">
        <f t="shared" ref="AN230:BS230" si="356">AN193</f>
        <v>42.219154955283813</v>
      </c>
      <c r="AO230" s="246">
        <f t="shared" si="356"/>
        <v>49.805184219106629</v>
      </c>
      <c r="AP230" s="246">
        <f t="shared" si="356"/>
        <v>25.607080799304953</v>
      </c>
      <c r="AQ230" s="247">
        <f t="shared" si="356"/>
        <v>22.065319109114725</v>
      </c>
      <c r="AR230" s="246">
        <f t="shared" si="356"/>
        <v>24.897162197344439</v>
      </c>
      <c r="AS230" s="246">
        <f t="shared" si="356"/>
        <v>31.089105870793411</v>
      </c>
      <c r="AT230" s="246">
        <f t="shared" si="356"/>
        <v>59.214028776978424</v>
      </c>
      <c r="AU230" s="246">
        <f t="shared" si="356"/>
        <v>31.164943732007323</v>
      </c>
      <c r="AV230" s="247">
        <f t="shared" si="356"/>
        <v>29.951895868704018</v>
      </c>
      <c r="AW230" s="246">
        <f t="shared" si="356"/>
        <v>27.893844548774126</v>
      </c>
      <c r="AX230" s="246">
        <f t="shared" si="356"/>
        <v>41.116775916484585</v>
      </c>
      <c r="AY230" s="246">
        <f t="shared" si="356"/>
        <v>60.551137618732035</v>
      </c>
      <c r="AZ230" s="246">
        <f t="shared" si="356"/>
        <v>44.146412037037038</v>
      </c>
      <c r="BA230" s="247">
        <f t="shared" si="356"/>
        <v>45.407738095238095</v>
      </c>
      <c r="BB230" s="246">
        <f t="shared" si="356"/>
        <v>32.91847041847042</v>
      </c>
      <c r="BC230" s="246">
        <f t="shared" si="356"/>
        <v>35.737488521579436</v>
      </c>
      <c r="BD230" s="246">
        <f t="shared" si="356"/>
        <v>50.750541255713252</v>
      </c>
      <c r="BE230" s="246">
        <f t="shared" si="356"/>
        <v>36.322815533980588</v>
      </c>
      <c r="BF230" s="247">
        <f t="shared" si="356"/>
        <v>37.67412587412587</v>
      </c>
      <c r="BG230" s="246">
        <f t="shared" si="356"/>
        <v>37.199439858490564</v>
      </c>
      <c r="BH230" s="246">
        <f t="shared" si="356"/>
        <v>44.321142009232794</v>
      </c>
      <c r="BI230" s="246">
        <f t="shared" si="356"/>
        <v>46.709189530478703</v>
      </c>
      <c r="BJ230" s="246">
        <f t="shared" si="356"/>
        <v>34.269710906701711</v>
      </c>
      <c r="BK230" s="247">
        <f t="shared" si="356"/>
        <v>30.772884155874806</v>
      </c>
      <c r="BL230" s="246">
        <f t="shared" si="356"/>
        <v>29.788137985546523</v>
      </c>
      <c r="BM230" s="246">
        <f>BM193</f>
        <v>36.118783798112609</v>
      </c>
      <c r="BN230" s="246">
        <f t="shared" si="356"/>
        <v>43.589972761321071</v>
      </c>
      <c r="BO230" s="246">
        <f t="shared" si="356"/>
        <v>47.334007974867085</v>
      </c>
      <c r="BP230" s="247">
        <f t="shared" si="356"/>
        <v>44.296517216034381</v>
      </c>
      <c r="BQ230" s="246">
        <f t="shared" si="356"/>
        <v>50.881714257188499</v>
      </c>
      <c r="BR230" s="246">
        <f t="shared" si="356"/>
        <v>54.261688249857173</v>
      </c>
      <c r="BS230" s="246">
        <f t="shared" si="356"/>
        <v>76.095858978512041</v>
      </c>
      <c r="BT230" s="246">
        <f t="shared" ref="BT230:CY230" si="357">BT193</f>
        <v>60.695995722433459</v>
      </c>
      <c r="BU230" s="247">
        <f t="shared" si="357"/>
        <v>53.495745516428848</v>
      </c>
      <c r="BV230" s="246">
        <f t="shared" si="357"/>
        <v>54.681501340482562</v>
      </c>
      <c r="BW230" s="246">
        <f t="shared" si="357"/>
        <v>53.691692743985925</v>
      </c>
      <c r="BX230" s="246">
        <f t="shared" si="357"/>
        <v>76.284917774273481</v>
      </c>
      <c r="BY230" s="246">
        <f t="shared" si="357"/>
        <v>60.2567462087422</v>
      </c>
      <c r="BZ230" s="247">
        <f t="shared" si="357"/>
        <v>57.799556114126801</v>
      </c>
      <c r="CA230" s="246">
        <f t="shared" si="357"/>
        <v>54.681501340482562</v>
      </c>
      <c r="CB230" s="246">
        <f t="shared" si="357"/>
        <v>53.691692743985925</v>
      </c>
      <c r="CC230" s="246">
        <f t="shared" si="357"/>
        <v>76.284917774273481</v>
      </c>
      <c r="CD230" s="246">
        <f t="shared" si="357"/>
        <v>60.2567462087422</v>
      </c>
      <c r="CE230" s="247">
        <f t="shared" si="357"/>
        <v>57.151111948260613</v>
      </c>
      <c r="CF230" s="246">
        <f t="shared" si="357"/>
        <v>56.506501340482565</v>
      </c>
      <c r="CG230" s="246">
        <f t="shared" si="357"/>
        <v>55.516692743985928</v>
      </c>
      <c r="CH230" s="246">
        <f t="shared" si="357"/>
        <v>78.109917774273484</v>
      </c>
      <c r="CI230" s="246">
        <f t="shared" si="357"/>
        <v>62.081746208742203</v>
      </c>
      <c r="CJ230" s="247">
        <f t="shared" si="357"/>
        <v>58.772292835108466</v>
      </c>
      <c r="CK230" s="246">
        <f t="shared" si="357"/>
        <v>56.506501340482565</v>
      </c>
      <c r="CL230" s="246">
        <f t="shared" si="357"/>
        <v>55.516692743985928</v>
      </c>
      <c r="CM230" s="246">
        <f t="shared" si="357"/>
        <v>78.109917774273484</v>
      </c>
      <c r="CN230" s="246">
        <f t="shared" si="357"/>
        <v>62.081746208742203</v>
      </c>
      <c r="CO230" s="247">
        <f t="shared" si="357"/>
        <v>58.693849790206656</v>
      </c>
      <c r="CP230" s="246">
        <f t="shared" si="357"/>
        <v>56.506501340482565</v>
      </c>
      <c r="CQ230" s="246">
        <f t="shared" si="357"/>
        <v>55.516692743985928</v>
      </c>
      <c r="CR230" s="246">
        <f t="shared" si="357"/>
        <v>78.109917774273484</v>
      </c>
      <c r="CS230" s="246">
        <f t="shared" si="357"/>
        <v>62.081746208742203</v>
      </c>
      <c r="CT230" s="247">
        <f t="shared" si="357"/>
        <v>58.630285890554553</v>
      </c>
      <c r="CU230" s="246">
        <f t="shared" si="357"/>
        <v>56.506501340482565</v>
      </c>
      <c r="CV230" s="246">
        <f t="shared" si="357"/>
        <v>55.516692743985928</v>
      </c>
      <c r="CW230" s="246">
        <f t="shared" si="357"/>
        <v>78.109917774273484</v>
      </c>
      <c r="CX230" s="246">
        <f t="shared" si="357"/>
        <v>62.081746208742203</v>
      </c>
      <c r="CY230" s="247">
        <f t="shared" si="357"/>
        <v>58.573556084822691</v>
      </c>
      <c r="CZ230" s="249"/>
      <c r="DA230" s="755"/>
      <c r="DB230" s="753"/>
      <c r="DC230" s="753"/>
      <c r="DD230" s="755"/>
      <c r="DE230" s="756"/>
      <c r="DF230" s="755"/>
      <c r="DG230" s="753"/>
      <c r="DH230" s="753"/>
      <c r="DI230" s="755"/>
      <c r="DJ230" s="755"/>
      <c r="DK230" s="755"/>
      <c r="DL230" s="755"/>
      <c r="DM230" s="755"/>
      <c r="DN230" s="755"/>
      <c r="DU230" s="251"/>
      <c r="DV230" s="251"/>
      <c r="DW230" s="755"/>
      <c r="DX230" s="755"/>
      <c r="DY230" s="755"/>
      <c r="DZ230" s="755"/>
      <c r="EA230" s="755"/>
    </row>
    <row r="231" spans="1:131" x14ac:dyDescent="0.2">
      <c r="A231" s="251"/>
      <c r="B231" s="251" t="s">
        <v>207</v>
      </c>
      <c r="C231" s="251"/>
      <c r="D231" s="259"/>
      <c r="E231" s="259"/>
      <c r="F231" s="259"/>
      <c r="G231" s="259"/>
      <c r="H231" s="247">
        <f t="shared" ref="H231:AM231" si="358">H228+H229-H230</f>
        <v>207.94466486130284</v>
      </c>
      <c r="I231" s="246">
        <f t="shared" si="358"/>
        <v>199.25797750198717</v>
      </c>
      <c r="J231" s="246">
        <f t="shared" si="358"/>
        <v>181.4000717746116</v>
      </c>
      <c r="K231" s="246">
        <f t="shared" si="358"/>
        <v>201.45807489140589</v>
      </c>
      <c r="L231" s="246">
        <f t="shared" si="358"/>
        <v>230.6278368346606</v>
      </c>
      <c r="M231" s="247">
        <f t="shared" si="358"/>
        <v>233.09416709769278</v>
      </c>
      <c r="N231" s="246">
        <f t="shared" si="358"/>
        <v>217.87471874649776</v>
      </c>
      <c r="O231" s="246">
        <f t="shared" si="358"/>
        <v>205.14901149804609</v>
      </c>
      <c r="P231" s="246">
        <f t="shared" si="358"/>
        <v>208.70891832382307</v>
      </c>
      <c r="Q231" s="246">
        <f t="shared" si="358"/>
        <v>236.25405881603842</v>
      </c>
      <c r="R231" s="247">
        <f t="shared" si="358"/>
        <v>218.23072032457702</v>
      </c>
      <c r="S231" s="246">
        <f t="shared" si="358"/>
        <v>219.07139531034511</v>
      </c>
      <c r="T231" s="246">
        <f t="shared" si="358"/>
        <v>203.97530897002542</v>
      </c>
      <c r="U231" s="246">
        <f t="shared" si="358"/>
        <v>211.18438584936877</v>
      </c>
      <c r="V231" s="246">
        <f t="shared" si="358"/>
        <v>252.32725831241851</v>
      </c>
      <c r="W231" s="247">
        <f t="shared" si="358"/>
        <v>218.75891440366732</v>
      </c>
      <c r="X231" s="246">
        <f t="shared" si="358"/>
        <v>322.17802969454749</v>
      </c>
      <c r="Y231" s="246">
        <f t="shared" si="358"/>
        <v>339.1508472420694</v>
      </c>
      <c r="Z231" s="246">
        <f t="shared" si="358"/>
        <v>299.39430515778076</v>
      </c>
      <c r="AA231" s="246">
        <f t="shared" si="358"/>
        <v>376.8680591725626</v>
      </c>
      <c r="AB231" s="247">
        <f t="shared" si="358"/>
        <v>342.54620759252384</v>
      </c>
      <c r="AC231" s="246">
        <f t="shared" si="358"/>
        <v>370.24467914141479</v>
      </c>
      <c r="AD231" s="246">
        <f t="shared" si="358"/>
        <v>327.56269002970373</v>
      </c>
      <c r="AE231" s="246">
        <f t="shared" si="358"/>
        <v>312.9165855934782</v>
      </c>
      <c r="AF231" s="246">
        <f t="shared" si="358"/>
        <v>352.1400680335164</v>
      </c>
      <c r="AG231" s="247">
        <f t="shared" si="358"/>
        <v>297.07250491655111</v>
      </c>
      <c r="AH231" s="246">
        <f t="shared" si="358"/>
        <v>360.45215222339414</v>
      </c>
      <c r="AI231" s="246">
        <f t="shared" si="358"/>
        <v>334.25002683828785</v>
      </c>
      <c r="AJ231" s="246">
        <f t="shared" si="358"/>
        <v>314.25989589716676</v>
      </c>
      <c r="AK231" s="246">
        <f t="shared" si="358"/>
        <v>371.21386412456883</v>
      </c>
      <c r="AL231" s="247">
        <f t="shared" si="358"/>
        <v>324.64384468978182</v>
      </c>
      <c r="AM231" s="246">
        <f t="shared" si="358"/>
        <v>351.80458100472651</v>
      </c>
      <c r="AN231" s="246">
        <f t="shared" ref="AN231:BS231" si="359">AN228+AN229-AN230</f>
        <v>320.85939495729599</v>
      </c>
      <c r="AO231" s="246">
        <f t="shared" si="359"/>
        <v>309.91590285736379</v>
      </c>
      <c r="AP231" s="246">
        <f t="shared" si="359"/>
        <v>299.03161120570212</v>
      </c>
      <c r="AQ231" s="247">
        <f t="shared" si="359"/>
        <v>257.51308035847688</v>
      </c>
      <c r="AR231" s="246">
        <f t="shared" si="359"/>
        <v>352.05040136673119</v>
      </c>
      <c r="AS231" s="246">
        <f t="shared" si="359"/>
        <v>317.48482425394627</v>
      </c>
      <c r="AT231" s="246">
        <f t="shared" si="359"/>
        <v>335.16143153694543</v>
      </c>
      <c r="AU231" s="246">
        <f t="shared" si="359"/>
        <v>360.65618734166725</v>
      </c>
      <c r="AV231" s="247">
        <f t="shared" si="359"/>
        <v>345.69401981618063</v>
      </c>
      <c r="AW231" s="246">
        <f t="shared" si="359"/>
        <v>353.31346767505545</v>
      </c>
      <c r="AX231" s="246">
        <f t="shared" si="359"/>
        <v>324.88878389390231</v>
      </c>
      <c r="AY231" s="246">
        <f t="shared" si="359"/>
        <v>325.35754468134758</v>
      </c>
      <c r="AZ231" s="246">
        <f t="shared" si="359"/>
        <v>330.53739665827095</v>
      </c>
      <c r="BA231" s="247">
        <f t="shared" si="359"/>
        <v>337.93675424400652</v>
      </c>
      <c r="BB231" s="246">
        <f t="shared" si="359"/>
        <v>345.4255779255779</v>
      </c>
      <c r="BC231" s="246">
        <f t="shared" si="359"/>
        <v>177.35066341307936</v>
      </c>
      <c r="BD231" s="246">
        <f t="shared" si="359"/>
        <v>191.72556073178532</v>
      </c>
      <c r="BE231" s="246">
        <f t="shared" si="359"/>
        <v>222.49663956260554</v>
      </c>
      <c r="BF231" s="247">
        <f t="shared" si="359"/>
        <v>231.82880632012564</v>
      </c>
      <c r="BG231" s="246">
        <f t="shared" si="359"/>
        <v>193.44657578389675</v>
      </c>
      <c r="BH231" s="246">
        <f t="shared" si="359"/>
        <v>171.38349573492169</v>
      </c>
      <c r="BI231" s="246">
        <f t="shared" si="359"/>
        <v>196.68390998693667</v>
      </c>
      <c r="BJ231" s="246">
        <f t="shared" si="359"/>
        <v>225.22064598858017</v>
      </c>
      <c r="BK231" s="247">
        <f t="shared" si="359"/>
        <v>202.23069470361361</v>
      </c>
      <c r="BL231" s="246">
        <f>BL228+BL229-BL230</f>
        <v>192.94315803089526</v>
      </c>
      <c r="BM231" s="246">
        <f>BM228+BM229-BM230</f>
        <v>173.9118402050114</v>
      </c>
      <c r="BN231" s="246">
        <f t="shared" si="359"/>
        <v>191.34018964961336</v>
      </c>
      <c r="BO231" s="246">
        <f t="shared" si="359"/>
        <v>200.13377914859834</v>
      </c>
      <c r="BP231" s="247">
        <f t="shared" si="359"/>
        <v>187.58603987281441</v>
      </c>
      <c r="BQ231" s="246">
        <f t="shared" si="359"/>
        <v>161.62736017553024</v>
      </c>
      <c r="BR231" s="246">
        <f t="shared" si="359"/>
        <v>144.45453487029113</v>
      </c>
      <c r="BS231" s="246">
        <f t="shared" si="359"/>
        <v>176.23909613029198</v>
      </c>
      <c r="BT231" s="246">
        <f t="shared" ref="BT231:CY231" si="360">BT228+BT229-BT230</f>
        <v>192.59372832314256</v>
      </c>
      <c r="BU231" s="247">
        <f t="shared" si="360"/>
        <v>170.02967527455891</v>
      </c>
      <c r="BV231" s="246">
        <f t="shared" si="360"/>
        <v>174.07929600251546</v>
      </c>
      <c r="BW231" s="246">
        <f t="shared" si="360"/>
        <v>155.85547998069251</v>
      </c>
      <c r="BX231" s="246">
        <f t="shared" si="360"/>
        <v>186.04177570625563</v>
      </c>
      <c r="BY231" s="246">
        <f t="shared" si="360"/>
        <v>191.90051608139009</v>
      </c>
      <c r="BZ231" s="247">
        <f t="shared" si="360"/>
        <v>182.95353310835799</v>
      </c>
      <c r="CA231" s="246">
        <f t="shared" si="360"/>
        <v>173.34929600251544</v>
      </c>
      <c r="CB231" s="246">
        <f t="shared" si="360"/>
        <v>155.12547998069252</v>
      </c>
      <c r="CC231" s="246">
        <f t="shared" si="360"/>
        <v>185.31177570625567</v>
      </c>
      <c r="CD231" s="246">
        <f t="shared" si="360"/>
        <v>191.17051608139008</v>
      </c>
      <c r="CE231" s="247">
        <f t="shared" si="360"/>
        <v>180.37483209794095</v>
      </c>
      <c r="CF231" s="246">
        <f t="shared" si="360"/>
        <v>168.78679600251544</v>
      </c>
      <c r="CG231" s="246">
        <f t="shared" si="360"/>
        <v>150.56297998069255</v>
      </c>
      <c r="CH231" s="246">
        <f t="shared" si="360"/>
        <v>180.74927570625567</v>
      </c>
      <c r="CI231" s="246">
        <f t="shared" si="360"/>
        <v>186.6080160813901</v>
      </c>
      <c r="CJ231" s="247">
        <f t="shared" si="360"/>
        <v>175.69875512698712</v>
      </c>
      <c r="CK231" s="246">
        <f t="shared" si="360"/>
        <v>166.04929600251546</v>
      </c>
      <c r="CL231" s="246">
        <f t="shared" si="360"/>
        <v>147.82547998069248</v>
      </c>
      <c r="CM231" s="246">
        <f t="shared" si="360"/>
        <v>178.01177570625572</v>
      </c>
      <c r="CN231" s="246">
        <f t="shared" si="360"/>
        <v>183.87051608139009</v>
      </c>
      <c r="CO231" s="247">
        <f t="shared" si="360"/>
        <v>172.86606120756886</v>
      </c>
      <c r="CP231" s="246">
        <f t="shared" si="360"/>
        <v>166.04929600251546</v>
      </c>
      <c r="CQ231" s="246">
        <f t="shared" si="360"/>
        <v>147.82547998069253</v>
      </c>
      <c r="CR231" s="246">
        <f t="shared" si="360"/>
        <v>178.01177570625572</v>
      </c>
      <c r="CS231" s="246">
        <f t="shared" si="360"/>
        <v>183.87051608139009</v>
      </c>
      <c r="CT231" s="247">
        <f t="shared" si="360"/>
        <v>172.67212674745122</v>
      </c>
      <c r="CU231" s="246">
        <f t="shared" si="360"/>
        <v>166.04929600251546</v>
      </c>
      <c r="CV231" s="246">
        <f t="shared" si="360"/>
        <v>147.82547998069253</v>
      </c>
      <c r="CW231" s="246">
        <f t="shared" si="360"/>
        <v>178.01177570625572</v>
      </c>
      <c r="CX231" s="246">
        <f t="shared" si="360"/>
        <v>183.87051608139009</v>
      </c>
      <c r="CY231" s="247">
        <f t="shared" si="360"/>
        <v>172.49841858885856</v>
      </c>
      <c r="CZ231" s="249"/>
      <c r="DA231" s="755"/>
      <c r="DB231" s="753"/>
      <c r="DC231" s="753"/>
      <c r="DD231" s="755"/>
      <c r="DE231" s="756"/>
      <c r="DF231" s="755"/>
      <c r="DG231" s="753"/>
      <c r="DH231" s="753"/>
      <c r="DI231" s="755"/>
      <c r="DJ231" s="755"/>
      <c r="DK231" s="755"/>
      <c r="DL231" s="755"/>
      <c r="DM231" s="755"/>
      <c r="DN231" s="755"/>
      <c r="DU231" s="251"/>
      <c r="DV231" s="251"/>
      <c r="DW231" s="755"/>
      <c r="DX231" s="755"/>
      <c r="DY231" s="755"/>
      <c r="DZ231" s="755"/>
      <c r="EA231" s="755"/>
    </row>
    <row r="232" spans="1:131" x14ac:dyDescent="0.2">
      <c r="A232" s="754"/>
      <c r="B232" s="754"/>
      <c r="C232" s="754"/>
      <c r="D232" s="412"/>
      <c r="E232" s="412"/>
      <c r="F232" s="412"/>
      <c r="G232" s="412"/>
      <c r="H232" s="875"/>
      <c r="I232" s="875"/>
      <c r="J232" s="875"/>
      <c r="K232" s="875"/>
      <c r="L232" s="875"/>
      <c r="M232" s="875"/>
      <c r="N232" s="875"/>
      <c r="O232" s="875"/>
      <c r="P232" s="875"/>
      <c r="Q232" s="875"/>
      <c r="R232" s="875"/>
      <c r="S232" s="875"/>
      <c r="T232" s="875"/>
      <c r="U232" s="875"/>
      <c r="V232" s="875"/>
      <c r="W232" s="875"/>
      <c r="X232" s="875"/>
      <c r="Y232" s="875"/>
      <c r="Z232" s="875"/>
      <c r="AA232" s="875"/>
      <c r="AB232" s="875"/>
      <c r="AC232" s="875"/>
      <c r="AD232" s="875"/>
      <c r="AE232" s="875"/>
      <c r="AF232" s="875"/>
      <c r="AG232" s="875"/>
      <c r="AH232" s="875"/>
      <c r="AI232" s="875"/>
      <c r="AJ232" s="875"/>
      <c r="AK232" s="875"/>
      <c r="AL232" s="875"/>
      <c r="AM232" s="875"/>
      <c r="AN232" s="875"/>
      <c r="AO232" s="875"/>
      <c r="AP232" s="875"/>
      <c r="AQ232" s="875"/>
      <c r="AR232" s="875"/>
      <c r="AS232" s="875"/>
      <c r="AT232" s="875"/>
      <c r="AU232" s="875"/>
      <c r="AV232" s="875"/>
      <c r="AW232" s="875"/>
      <c r="AX232" s="875"/>
      <c r="AY232" s="875"/>
      <c r="AZ232" s="875"/>
      <c r="BA232" s="875"/>
      <c r="BB232" s="875"/>
      <c r="BC232" s="875"/>
      <c r="BD232" s="875"/>
      <c r="BE232" s="875"/>
      <c r="BF232" s="875"/>
      <c r="BG232" s="875"/>
      <c r="BH232" s="875"/>
      <c r="BI232" s="875"/>
      <c r="BJ232" s="875"/>
      <c r="BK232" s="875"/>
      <c r="BL232" s="875"/>
      <c r="BM232" s="875"/>
      <c r="BN232" s="875"/>
      <c r="BO232" s="875"/>
      <c r="BP232" s="875"/>
      <c r="BQ232" s="875"/>
      <c r="BR232" s="875"/>
      <c r="BS232" s="875"/>
      <c r="BT232" s="875"/>
      <c r="BU232" s="875"/>
      <c r="BV232" s="875"/>
      <c r="BW232" s="875"/>
      <c r="BX232" s="875"/>
      <c r="BY232" s="875"/>
      <c r="BZ232" s="875"/>
      <c r="CA232" s="875"/>
      <c r="CB232" s="875"/>
      <c r="CC232" s="875"/>
      <c r="CD232" s="875"/>
      <c r="CE232" s="875"/>
      <c r="CF232" s="875"/>
      <c r="CG232" s="875"/>
      <c r="CH232" s="875"/>
      <c r="CI232" s="875"/>
      <c r="CJ232" s="875"/>
      <c r="CK232" s="875"/>
      <c r="CL232" s="875"/>
      <c r="CM232" s="875"/>
      <c r="CN232" s="875"/>
      <c r="CO232" s="875"/>
      <c r="CP232" s="875"/>
      <c r="CQ232" s="875"/>
      <c r="CR232" s="875"/>
      <c r="CS232" s="875"/>
      <c r="CT232" s="875"/>
      <c r="CU232" s="875"/>
      <c r="CV232" s="875"/>
      <c r="CW232" s="875"/>
      <c r="CX232" s="875"/>
      <c r="CY232" s="875"/>
      <c r="CZ232" s="875"/>
      <c r="DA232" s="755"/>
      <c r="DB232" s="753"/>
      <c r="DC232" s="753"/>
      <c r="DD232" s="755"/>
      <c r="DE232" s="756"/>
      <c r="DF232" s="755"/>
      <c r="DG232" s="753"/>
      <c r="DH232" s="753"/>
      <c r="DI232" s="755"/>
      <c r="DJ232" s="755"/>
      <c r="DK232" s="755"/>
      <c r="DL232" s="755"/>
      <c r="DM232" s="755"/>
      <c r="DN232" s="755"/>
      <c r="DU232" s="754"/>
      <c r="DV232" s="754"/>
      <c r="DW232" s="755"/>
      <c r="DX232" s="755"/>
      <c r="DY232" s="755"/>
      <c r="DZ232" s="755"/>
      <c r="EA232" s="755"/>
    </row>
    <row r="233" spans="1:131" x14ac:dyDescent="0.2">
      <c r="A233" s="309"/>
      <c r="B233" s="309"/>
      <c r="C233" s="309"/>
      <c r="D233" s="309"/>
      <c r="E233" s="309"/>
      <c r="F233" s="309"/>
      <c r="G233" s="309"/>
      <c r="H233" s="309"/>
      <c r="I233" s="309"/>
      <c r="J233" s="309"/>
      <c r="K233" s="309"/>
      <c r="L233" s="309"/>
      <c r="M233" s="309"/>
      <c r="N233" s="309"/>
      <c r="O233" s="309"/>
      <c r="P233" s="309"/>
      <c r="Q233" s="309"/>
      <c r="R233" s="309"/>
      <c r="S233" s="309"/>
      <c r="T233" s="309"/>
      <c r="U233" s="309"/>
      <c r="V233" s="309"/>
      <c r="W233" s="309"/>
      <c r="X233" s="309"/>
      <c r="Y233" s="309"/>
      <c r="Z233" s="309"/>
      <c r="AA233" s="309"/>
      <c r="AB233" s="309"/>
      <c r="AC233" s="309"/>
      <c r="AD233" s="309"/>
      <c r="AE233" s="309"/>
      <c r="AF233" s="309"/>
      <c r="AG233" s="309"/>
      <c r="AH233" s="309"/>
      <c r="AI233" s="309"/>
      <c r="AJ233" s="309"/>
      <c r="AK233" s="309"/>
      <c r="AL233" s="309"/>
      <c r="AM233" s="309"/>
      <c r="AN233" s="309"/>
      <c r="AO233" s="309"/>
      <c r="AP233" s="309"/>
      <c r="AQ233" s="309"/>
      <c r="AR233" s="309"/>
      <c r="AS233" s="309"/>
      <c r="AT233" s="309"/>
      <c r="AU233" s="309"/>
      <c r="AV233" s="309"/>
      <c r="AW233" s="309"/>
      <c r="AX233" s="309"/>
      <c r="AY233" s="309"/>
      <c r="AZ233" s="309"/>
      <c r="BA233" s="309"/>
      <c r="BB233" s="309"/>
      <c r="BC233" s="309"/>
      <c r="BD233" s="309"/>
      <c r="BE233" s="309"/>
      <c r="BF233" s="309"/>
      <c r="BG233" s="309"/>
      <c r="BH233" s="309"/>
      <c r="BI233" s="309"/>
      <c r="BJ233" s="309"/>
      <c r="BK233" s="309"/>
      <c r="BL233" s="309"/>
      <c r="BM233" s="309"/>
      <c r="BN233" s="309"/>
      <c r="BO233" s="309"/>
      <c r="BP233" s="309"/>
      <c r="BQ233" s="309"/>
      <c r="BR233" s="309"/>
      <c r="BS233" s="309"/>
      <c r="BT233" s="309"/>
      <c r="BU233" s="309"/>
      <c r="BV233" s="309"/>
      <c r="BW233" s="309"/>
      <c r="BX233" s="309"/>
      <c r="BY233" s="309"/>
      <c r="BZ233" s="309"/>
      <c r="CA233" s="309"/>
      <c r="CB233" s="309"/>
      <c r="CC233" s="309"/>
      <c r="CD233" s="309"/>
      <c r="CE233" s="309"/>
      <c r="CF233" s="309"/>
      <c r="CG233" s="309"/>
      <c r="CH233" s="309"/>
      <c r="CI233" s="309"/>
      <c r="CJ233" s="309"/>
      <c r="CK233" s="309"/>
      <c r="CL233" s="309"/>
      <c r="CM233" s="309"/>
      <c r="CN233" s="309"/>
      <c r="CO233" s="309"/>
      <c r="CP233" s="309"/>
      <c r="CQ233" s="309"/>
      <c r="CR233" s="309"/>
      <c r="CS233" s="309"/>
      <c r="CT233" s="309"/>
      <c r="CU233" s="309"/>
      <c r="CV233" s="309"/>
      <c r="CW233" s="309"/>
      <c r="CX233" s="309"/>
      <c r="CY233" s="309"/>
      <c r="CZ233" s="309"/>
      <c r="DU233" s="309"/>
      <c r="DV233" s="309"/>
    </row>
    <row r="234" spans="1:131" x14ac:dyDescent="0.2">
      <c r="A234" s="309"/>
      <c r="B234" s="309"/>
      <c r="C234" s="309"/>
      <c r="D234" s="309"/>
      <c r="E234" s="309"/>
      <c r="F234" s="309"/>
      <c r="G234" s="309"/>
      <c r="H234" s="309"/>
      <c r="I234" s="309"/>
      <c r="J234" s="309"/>
      <c r="K234" s="309"/>
      <c r="L234" s="309"/>
      <c r="M234" s="309"/>
      <c r="N234" s="309"/>
      <c r="O234" s="309"/>
      <c r="P234" s="309"/>
      <c r="Q234" s="309"/>
      <c r="R234" s="309"/>
      <c r="S234" s="309"/>
      <c r="T234" s="309"/>
      <c r="U234" s="309"/>
      <c r="V234" s="309"/>
      <c r="W234" s="309"/>
      <c r="X234" s="309"/>
      <c r="Y234" s="309"/>
      <c r="Z234" s="309"/>
      <c r="AA234" s="309"/>
      <c r="AB234" s="309"/>
      <c r="AC234" s="309"/>
      <c r="AD234" s="309"/>
      <c r="AE234" s="309"/>
      <c r="AF234" s="309"/>
      <c r="AG234" s="309"/>
      <c r="AH234" s="309"/>
      <c r="AI234" s="309"/>
      <c r="AJ234" s="309"/>
      <c r="AK234" s="309"/>
      <c r="AL234" s="309"/>
      <c r="AM234" s="309"/>
      <c r="AN234" s="309"/>
      <c r="AO234" s="309"/>
      <c r="AP234" s="309"/>
      <c r="AQ234" s="309"/>
      <c r="AR234" s="309"/>
      <c r="AS234" s="309"/>
      <c r="AT234" s="309"/>
      <c r="AU234" s="309"/>
      <c r="AV234" s="309"/>
      <c r="AW234" s="309"/>
      <c r="AX234" s="309"/>
      <c r="AY234" s="309"/>
      <c r="AZ234" s="309"/>
      <c r="BA234" s="309"/>
      <c r="BB234" s="309"/>
      <c r="BC234" s="309"/>
      <c r="BD234" s="309"/>
      <c r="BE234" s="309"/>
      <c r="BF234" s="309"/>
      <c r="BG234" s="309"/>
      <c r="BH234" s="309"/>
      <c r="BI234" s="309"/>
      <c r="BJ234" s="309"/>
      <c r="BK234" s="309"/>
      <c r="BL234" s="309"/>
      <c r="BM234" s="309"/>
      <c r="BN234" s="309"/>
      <c r="BO234" s="309"/>
      <c r="BP234" s="309"/>
      <c r="BQ234" s="309"/>
      <c r="BR234" s="309"/>
      <c r="BS234" s="309"/>
      <c r="BT234" s="309"/>
      <c r="BU234" s="309"/>
      <c r="BV234" s="309"/>
      <c r="BW234" s="309"/>
      <c r="BX234" s="309"/>
      <c r="BY234" s="309"/>
      <c r="BZ234" s="309"/>
      <c r="CA234" s="309"/>
      <c r="CB234" s="309"/>
      <c r="CC234" s="309"/>
      <c r="CD234" s="309"/>
      <c r="CE234" s="309"/>
      <c r="CF234" s="309"/>
      <c r="CG234" s="309"/>
      <c r="CH234" s="309"/>
      <c r="CI234" s="309"/>
      <c r="CJ234" s="309"/>
      <c r="CK234" s="309"/>
      <c r="CL234" s="309"/>
      <c r="CM234" s="309"/>
      <c r="CN234" s="309"/>
      <c r="CO234" s="309"/>
      <c r="CP234" s="309"/>
      <c r="CQ234" s="309"/>
      <c r="CR234" s="309"/>
      <c r="CS234" s="309"/>
      <c r="CT234" s="309"/>
      <c r="CU234" s="309"/>
      <c r="CV234" s="309"/>
      <c r="CW234" s="309"/>
      <c r="CX234" s="309"/>
      <c r="CY234" s="309"/>
      <c r="CZ234" s="309"/>
      <c r="DU234" s="309"/>
      <c r="DV234" s="309"/>
    </row>
    <row r="235" spans="1:131" x14ac:dyDescent="0.2">
      <c r="A235" s="309"/>
      <c r="B235" s="309"/>
      <c r="C235" s="309"/>
      <c r="D235" s="309"/>
      <c r="E235" s="309"/>
      <c r="F235" s="309"/>
      <c r="G235" s="309"/>
      <c r="H235" s="309"/>
      <c r="I235" s="309"/>
      <c r="J235" s="309"/>
      <c r="K235" s="309"/>
      <c r="L235" s="309"/>
      <c r="M235" s="309"/>
      <c r="N235" s="309"/>
      <c r="O235" s="309"/>
      <c r="P235" s="309"/>
      <c r="Q235" s="309"/>
      <c r="R235" s="309"/>
      <c r="S235" s="309"/>
      <c r="T235" s="309"/>
      <c r="U235" s="309"/>
      <c r="V235" s="309"/>
      <c r="W235" s="309"/>
      <c r="X235" s="309"/>
      <c r="Y235" s="309"/>
      <c r="Z235" s="309"/>
      <c r="AA235" s="309"/>
      <c r="AB235" s="309"/>
      <c r="AC235" s="309"/>
      <c r="AD235" s="309"/>
      <c r="AE235" s="309"/>
      <c r="AF235" s="309"/>
      <c r="AG235" s="309"/>
      <c r="AH235" s="309"/>
      <c r="AI235" s="309"/>
      <c r="AJ235" s="309"/>
      <c r="AK235" s="309"/>
      <c r="AL235" s="309"/>
      <c r="AM235" s="309"/>
      <c r="AN235" s="309"/>
      <c r="AO235" s="309"/>
      <c r="AP235" s="309"/>
      <c r="AQ235" s="309"/>
      <c r="AR235" s="309"/>
      <c r="AS235" s="309"/>
      <c r="AT235" s="309"/>
      <c r="AU235" s="309"/>
      <c r="AV235" s="309"/>
      <c r="AW235" s="309"/>
      <c r="AX235" s="309"/>
      <c r="AY235" s="309"/>
      <c r="AZ235" s="309"/>
      <c r="BA235" s="309"/>
      <c r="BB235" s="309"/>
      <c r="BC235" s="309"/>
      <c r="BD235" s="309"/>
      <c r="BE235" s="309"/>
      <c r="BF235" s="309"/>
      <c r="BG235" s="309"/>
      <c r="BH235" s="309"/>
      <c r="BI235" s="309"/>
      <c r="BJ235" s="309"/>
      <c r="BK235" s="309"/>
      <c r="BL235" s="309"/>
      <c r="BM235" s="309"/>
      <c r="BN235" s="309"/>
      <c r="BO235" s="309"/>
      <c r="BP235" s="309"/>
      <c r="BQ235" s="309"/>
      <c r="BR235" s="309"/>
      <c r="BS235" s="309"/>
      <c r="BT235" s="716"/>
      <c r="BU235" s="309"/>
      <c r="BV235" s="309"/>
      <c r="BW235" s="309"/>
      <c r="BX235" s="309"/>
      <c r="BY235" s="309"/>
      <c r="BZ235" s="484"/>
      <c r="CA235" s="309"/>
      <c r="CB235" s="309"/>
      <c r="CC235" s="309"/>
      <c r="CD235" s="309"/>
      <c r="CE235" s="484"/>
      <c r="CF235" s="309"/>
      <c r="CG235" s="309"/>
      <c r="CH235" s="309"/>
      <c r="CI235" s="309"/>
      <c r="CJ235" s="484"/>
      <c r="CK235" s="309"/>
      <c r="CL235" s="309"/>
      <c r="CM235" s="309"/>
      <c r="CN235" s="309"/>
      <c r="CO235" s="309"/>
      <c r="CP235" s="309"/>
      <c r="CQ235" s="309"/>
      <c r="CR235" s="309"/>
      <c r="CS235" s="309"/>
      <c r="CT235" s="309"/>
      <c r="CU235" s="309"/>
      <c r="CV235" s="309"/>
      <c r="CW235" s="309"/>
      <c r="CX235" s="309"/>
      <c r="CY235" s="309"/>
      <c r="CZ235" s="309"/>
      <c r="DU235" s="309"/>
      <c r="DV235" s="309"/>
    </row>
    <row r="236" spans="1:131" x14ac:dyDescent="0.2">
      <c r="A236" s="309"/>
      <c r="B236" s="309"/>
      <c r="C236" s="309"/>
      <c r="D236" s="309"/>
      <c r="E236" s="309"/>
      <c r="F236" s="309"/>
      <c r="G236" s="309"/>
      <c r="H236" s="309"/>
      <c r="I236" s="309"/>
      <c r="J236" s="309"/>
      <c r="K236" s="309"/>
      <c r="L236" s="309"/>
      <c r="M236" s="309"/>
      <c r="N236" s="309"/>
      <c r="O236" s="309"/>
      <c r="P236" s="309"/>
      <c r="Q236" s="309"/>
      <c r="R236" s="309"/>
      <c r="S236" s="309"/>
      <c r="T236" s="309"/>
      <c r="U236" s="309"/>
      <c r="V236" s="309"/>
      <c r="W236" s="309"/>
      <c r="X236" s="309"/>
      <c r="Y236" s="309"/>
      <c r="Z236" s="309"/>
      <c r="AA236" s="309"/>
      <c r="AB236" s="309"/>
      <c r="AC236" s="309"/>
      <c r="AD236" s="309"/>
      <c r="AE236" s="309"/>
      <c r="AF236" s="309"/>
      <c r="AG236" s="309"/>
      <c r="AH236" s="309"/>
      <c r="AI236" s="309"/>
      <c r="AJ236" s="309"/>
      <c r="AK236" s="309"/>
      <c r="AL236" s="309"/>
      <c r="AM236" s="309"/>
      <c r="AN236" s="309"/>
      <c r="AO236" s="309"/>
      <c r="AP236" s="309"/>
      <c r="AQ236" s="309"/>
      <c r="AR236" s="309"/>
      <c r="AS236" s="309"/>
      <c r="AT236" s="309"/>
      <c r="AU236" s="309"/>
      <c r="AV236" s="309"/>
      <c r="AW236" s="309"/>
      <c r="AX236" s="309"/>
      <c r="AY236" s="309"/>
      <c r="AZ236" s="309"/>
      <c r="BA236" s="309"/>
      <c r="BB236" s="309"/>
      <c r="BC236" s="309"/>
      <c r="BD236" s="309"/>
      <c r="BE236" s="309"/>
      <c r="BF236" s="309"/>
      <c r="BG236" s="309"/>
      <c r="BH236" s="309"/>
      <c r="BI236" s="309"/>
      <c r="BJ236" s="309"/>
      <c r="BK236" s="309"/>
      <c r="BL236" s="309"/>
      <c r="BM236" s="309"/>
      <c r="BN236" s="309"/>
      <c r="BO236" s="309"/>
      <c r="BP236" s="309"/>
      <c r="BQ236" s="309"/>
      <c r="BR236" s="309"/>
      <c r="BS236" s="309"/>
      <c r="BT236" s="309"/>
      <c r="BU236" s="309"/>
      <c r="BV236" s="309"/>
      <c r="BW236" s="309"/>
      <c r="BX236" s="309"/>
      <c r="BY236" s="309"/>
      <c r="BZ236" s="484"/>
      <c r="CA236" s="309"/>
      <c r="CB236" s="309"/>
      <c r="CC236" s="309"/>
      <c r="CD236" s="309"/>
      <c r="CE236" s="484"/>
      <c r="CF236" s="309"/>
      <c r="CG236" s="309"/>
      <c r="CH236" s="309"/>
      <c r="CI236" s="309"/>
      <c r="CJ236" s="484"/>
      <c r="CK236" s="309"/>
      <c r="CL236" s="309"/>
      <c r="CM236" s="309"/>
      <c r="CN236" s="309"/>
      <c r="CO236" s="309"/>
      <c r="CP236" s="309"/>
      <c r="CQ236" s="309"/>
      <c r="CR236" s="309"/>
      <c r="CS236" s="309"/>
      <c r="CT236" s="309"/>
      <c r="CU236" s="309"/>
      <c r="CV236" s="309"/>
      <c r="CW236" s="309"/>
      <c r="CX236" s="309"/>
      <c r="CY236" s="309"/>
      <c r="CZ236" s="309"/>
      <c r="DU236" s="309"/>
      <c r="DV236" s="309"/>
    </row>
    <row r="237" spans="1:131" x14ac:dyDescent="0.2">
      <c r="A237" s="309"/>
      <c r="B237" s="309"/>
      <c r="C237" s="309"/>
      <c r="D237" s="309"/>
      <c r="E237" s="309"/>
      <c r="F237" s="309"/>
      <c r="G237" s="309"/>
      <c r="H237" s="309"/>
      <c r="I237" s="309"/>
      <c r="J237" s="309"/>
      <c r="K237" s="309"/>
      <c r="L237" s="309"/>
      <c r="M237" s="309"/>
      <c r="N237" s="309"/>
      <c r="O237" s="309"/>
      <c r="P237" s="309"/>
      <c r="Q237" s="309"/>
      <c r="R237" s="309"/>
      <c r="S237" s="309"/>
      <c r="T237" s="309"/>
      <c r="U237" s="309"/>
      <c r="V237" s="309"/>
      <c r="W237" s="309"/>
      <c r="X237" s="309"/>
      <c r="Y237" s="309"/>
      <c r="Z237" s="309"/>
      <c r="AA237" s="309"/>
      <c r="AB237" s="309"/>
      <c r="AC237" s="309"/>
      <c r="AD237" s="309"/>
      <c r="AE237" s="309"/>
      <c r="AF237" s="309"/>
      <c r="AG237" s="309"/>
      <c r="AH237" s="309"/>
      <c r="AI237" s="309"/>
      <c r="AJ237" s="309"/>
      <c r="AK237" s="309"/>
      <c r="AL237" s="309"/>
      <c r="AM237" s="309"/>
      <c r="AN237" s="309"/>
      <c r="AO237" s="309"/>
      <c r="AP237" s="309"/>
      <c r="AQ237" s="309"/>
      <c r="AR237" s="309"/>
      <c r="AS237" s="309"/>
      <c r="AT237" s="309"/>
      <c r="AU237" s="309"/>
      <c r="AV237" s="309"/>
      <c r="AW237" s="309"/>
      <c r="AX237" s="309"/>
      <c r="AY237" s="309"/>
      <c r="AZ237" s="309"/>
      <c r="BA237" s="309"/>
      <c r="BB237" s="309"/>
      <c r="BC237" s="309"/>
      <c r="BD237" s="309"/>
      <c r="BE237" s="309"/>
      <c r="BF237" s="309"/>
      <c r="BG237" s="309"/>
      <c r="BH237" s="309"/>
      <c r="BI237" s="309"/>
      <c r="BJ237" s="309"/>
      <c r="BK237" s="309"/>
      <c r="BL237" s="309"/>
      <c r="BM237" s="309"/>
      <c r="BN237" s="309"/>
      <c r="BO237" s="309"/>
      <c r="BP237" s="309"/>
      <c r="BQ237" s="309"/>
      <c r="BR237" s="309"/>
      <c r="BS237" s="309"/>
      <c r="BT237" s="309"/>
      <c r="BU237" s="309"/>
      <c r="BV237" s="309"/>
      <c r="BW237" s="309"/>
      <c r="BX237" s="309"/>
      <c r="BY237" s="309"/>
      <c r="BZ237" s="484"/>
      <c r="CA237" s="309"/>
      <c r="CB237" s="309"/>
      <c r="CC237" s="309"/>
      <c r="CD237" s="309"/>
      <c r="CE237" s="484"/>
      <c r="CF237" s="309"/>
      <c r="CG237" s="309"/>
      <c r="CH237" s="309"/>
      <c r="CI237" s="309"/>
      <c r="CJ237" s="484"/>
      <c r="CK237" s="309"/>
      <c r="CL237" s="309"/>
      <c r="CM237" s="309"/>
      <c r="CN237" s="309"/>
      <c r="CO237" s="309"/>
      <c r="CP237" s="309"/>
      <c r="CQ237" s="309"/>
      <c r="CR237" s="309"/>
      <c r="CS237" s="309"/>
      <c r="CT237" s="309"/>
      <c r="CU237" s="309"/>
      <c r="CV237" s="309"/>
      <c r="CW237" s="309"/>
      <c r="CX237" s="309"/>
      <c r="CY237" s="309"/>
      <c r="CZ237" s="309"/>
      <c r="DU237" s="309"/>
      <c r="DV237" s="309"/>
    </row>
    <row r="238" spans="1:131" x14ac:dyDescent="0.2">
      <c r="A238" s="309"/>
      <c r="B238" s="309"/>
      <c r="C238" s="309"/>
      <c r="D238" s="309"/>
      <c r="E238" s="309"/>
      <c r="F238" s="309"/>
      <c r="G238" s="309"/>
      <c r="H238" s="309"/>
      <c r="I238" s="309"/>
      <c r="J238" s="309"/>
      <c r="K238" s="309"/>
      <c r="L238" s="309"/>
      <c r="M238" s="309"/>
      <c r="N238" s="309"/>
      <c r="O238" s="309"/>
      <c r="P238" s="309"/>
      <c r="Q238" s="309"/>
      <c r="R238" s="309"/>
      <c r="S238" s="309"/>
      <c r="T238" s="309"/>
      <c r="U238" s="309"/>
      <c r="V238" s="309"/>
      <c r="W238" s="309"/>
      <c r="X238" s="309"/>
      <c r="Y238" s="309"/>
      <c r="Z238" s="309"/>
      <c r="AA238" s="309"/>
      <c r="AB238" s="309"/>
      <c r="AC238" s="309"/>
      <c r="AD238" s="309"/>
      <c r="AE238" s="309"/>
      <c r="AF238" s="309"/>
      <c r="AG238" s="309"/>
      <c r="AH238" s="309"/>
      <c r="AI238" s="309"/>
      <c r="AJ238" s="309"/>
      <c r="AK238" s="309"/>
      <c r="AL238" s="309"/>
      <c r="AM238" s="309"/>
      <c r="AN238" s="309"/>
      <c r="AO238" s="309"/>
      <c r="AP238" s="309"/>
      <c r="AQ238" s="309"/>
      <c r="AR238" s="309"/>
      <c r="AS238" s="309"/>
      <c r="AT238" s="309"/>
      <c r="AU238" s="309"/>
      <c r="AV238" s="309"/>
      <c r="AW238" s="309"/>
      <c r="AX238" s="309"/>
      <c r="AY238" s="309"/>
      <c r="AZ238" s="309"/>
      <c r="BA238" s="309"/>
      <c r="BB238" s="309"/>
      <c r="BC238" s="309"/>
      <c r="BD238" s="309"/>
      <c r="BE238" s="309"/>
      <c r="BF238" s="309"/>
      <c r="BG238" s="309"/>
      <c r="BH238" s="309"/>
      <c r="BI238" s="309"/>
      <c r="BJ238" s="309"/>
      <c r="BK238" s="309"/>
      <c r="BL238" s="309"/>
      <c r="BM238" s="309"/>
      <c r="BN238" s="309"/>
      <c r="BO238" s="309"/>
      <c r="BP238" s="309"/>
      <c r="BQ238" s="309"/>
      <c r="BR238" s="309"/>
      <c r="BS238" s="309"/>
      <c r="BT238" s="309"/>
      <c r="BU238" s="309"/>
      <c r="BV238" s="309"/>
      <c r="BW238" s="309"/>
      <c r="BX238" s="309"/>
      <c r="BY238" s="309"/>
      <c r="BZ238" s="309"/>
      <c r="CA238" s="309"/>
      <c r="CB238" s="309"/>
      <c r="CC238" s="309"/>
      <c r="CD238" s="309"/>
      <c r="CE238" s="309"/>
      <c r="CF238" s="309"/>
      <c r="CG238" s="309"/>
      <c r="CH238" s="309"/>
      <c r="CI238" s="309"/>
      <c r="CJ238" s="309"/>
      <c r="CK238" s="309"/>
      <c r="CL238" s="309"/>
      <c r="CM238" s="309"/>
      <c r="CN238" s="309"/>
      <c r="CO238" s="309"/>
      <c r="CP238" s="309"/>
      <c r="CQ238" s="309"/>
      <c r="CR238" s="309"/>
      <c r="CS238" s="309"/>
      <c r="CT238" s="309"/>
      <c r="CU238" s="309"/>
      <c r="CV238" s="309"/>
      <c r="CW238" s="309"/>
      <c r="CX238" s="309"/>
      <c r="CY238" s="309"/>
      <c r="CZ238" s="309"/>
      <c r="DU238" s="309"/>
      <c r="DV238" s="309"/>
    </row>
    <row r="239" spans="1:131" x14ac:dyDescent="0.2">
      <c r="A239" s="309"/>
      <c r="B239" s="309"/>
      <c r="C239" s="309"/>
      <c r="D239" s="309"/>
      <c r="E239" s="309"/>
      <c r="F239" s="309"/>
      <c r="G239" s="309"/>
      <c r="H239" s="309"/>
      <c r="I239" s="309"/>
      <c r="J239" s="309"/>
      <c r="K239" s="309"/>
      <c r="L239" s="309"/>
      <c r="M239" s="309"/>
      <c r="N239" s="309"/>
      <c r="O239" s="309"/>
      <c r="P239" s="309"/>
      <c r="Q239" s="309"/>
      <c r="R239" s="309"/>
      <c r="S239" s="309"/>
      <c r="T239" s="309"/>
      <c r="U239" s="309"/>
      <c r="V239" s="309"/>
      <c r="W239" s="309"/>
      <c r="X239" s="309"/>
      <c r="Y239" s="309"/>
      <c r="Z239" s="309"/>
      <c r="AA239" s="309"/>
      <c r="AB239" s="309"/>
      <c r="AC239" s="309"/>
      <c r="AD239" s="309"/>
      <c r="AE239" s="309"/>
      <c r="AF239" s="309"/>
      <c r="AG239" s="309"/>
      <c r="AH239" s="309"/>
      <c r="AI239" s="309"/>
      <c r="AJ239" s="309"/>
      <c r="AK239" s="309"/>
      <c r="AL239" s="309"/>
      <c r="AM239" s="309"/>
      <c r="AN239" s="309"/>
      <c r="AO239" s="309"/>
      <c r="AP239" s="309"/>
      <c r="AQ239" s="309"/>
      <c r="AR239" s="309"/>
      <c r="AS239" s="309"/>
      <c r="AT239" s="309"/>
      <c r="AU239" s="309"/>
      <c r="AV239" s="309"/>
      <c r="AW239" s="309"/>
      <c r="AX239" s="309"/>
      <c r="AY239" s="309"/>
      <c r="AZ239" s="309"/>
      <c r="BA239" s="309"/>
      <c r="BB239" s="309"/>
      <c r="BC239" s="309"/>
      <c r="BD239" s="309"/>
      <c r="BE239" s="309"/>
      <c r="BF239" s="309"/>
      <c r="BG239" s="309"/>
      <c r="BH239" s="309"/>
      <c r="BI239" s="309"/>
      <c r="BJ239" s="309"/>
      <c r="BK239" s="309"/>
      <c r="BL239" s="309"/>
      <c r="BM239" s="309"/>
      <c r="BN239" s="309"/>
      <c r="BO239" s="309"/>
      <c r="BP239" s="309"/>
      <c r="BQ239" s="309"/>
      <c r="BR239" s="309"/>
      <c r="BS239" s="309"/>
      <c r="BT239" s="309"/>
      <c r="BU239" s="489"/>
      <c r="BV239" s="309"/>
      <c r="BW239" s="309"/>
      <c r="BX239" s="309"/>
      <c r="BY239" s="309"/>
      <c r="BZ239" s="309"/>
      <c r="CA239" s="309"/>
      <c r="CB239" s="309"/>
      <c r="CC239" s="309"/>
      <c r="CD239" s="309"/>
      <c r="CE239" s="309"/>
      <c r="CF239" s="309"/>
      <c r="CG239" s="309"/>
      <c r="CH239" s="309"/>
      <c r="CI239" s="309"/>
      <c r="CJ239" s="309"/>
      <c r="CK239" s="309"/>
      <c r="CL239" s="309"/>
      <c r="CM239" s="309"/>
      <c r="CN239" s="309"/>
      <c r="CO239" s="309"/>
      <c r="CP239" s="309"/>
      <c r="CQ239" s="309"/>
      <c r="CR239" s="309"/>
      <c r="CS239" s="309"/>
      <c r="CT239" s="309"/>
      <c r="CU239" s="309"/>
      <c r="CV239" s="309"/>
      <c r="CW239" s="309"/>
      <c r="CX239" s="309"/>
      <c r="CY239" s="309"/>
      <c r="CZ239" s="309"/>
      <c r="DU239" s="309"/>
      <c r="DV239" s="309"/>
    </row>
    <row r="240" spans="1:131" x14ac:dyDescent="0.2">
      <c r="A240" s="309"/>
      <c r="B240" s="309"/>
      <c r="C240" s="309"/>
      <c r="D240" s="309"/>
      <c r="E240" s="309"/>
      <c r="F240" s="309"/>
      <c r="G240" s="309"/>
      <c r="H240" s="309"/>
      <c r="I240" s="309"/>
      <c r="J240" s="309"/>
      <c r="K240" s="309"/>
      <c r="L240" s="309"/>
      <c r="M240" s="309"/>
      <c r="N240" s="309"/>
      <c r="O240" s="309"/>
      <c r="P240" s="309"/>
      <c r="Q240" s="309"/>
      <c r="R240" s="309"/>
      <c r="S240" s="309"/>
      <c r="T240" s="309"/>
      <c r="U240" s="309"/>
      <c r="V240" s="309"/>
      <c r="W240" s="309"/>
      <c r="X240" s="309"/>
      <c r="Y240" s="309"/>
      <c r="Z240" s="309"/>
      <c r="AA240" s="309"/>
      <c r="AB240" s="309"/>
      <c r="AC240" s="309"/>
      <c r="AD240" s="309"/>
      <c r="AE240" s="309"/>
      <c r="AF240" s="309"/>
      <c r="AG240" s="309"/>
      <c r="AH240" s="309"/>
      <c r="AI240" s="309"/>
      <c r="AJ240" s="309"/>
      <c r="AK240" s="309"/>
      <c r="AL240" s="309"/>
      <c r="AM240" s="309"/>
      <c r="AN240" s="309"/>
      <c r="AO240" s="309"/>
      <c r="AP240" s="309"/>
      <c r="AQ240" s="309"/>
      <c r="AR240" s="309"/>
      <c r="AS240" s="309"/>
      <c r="AT240" s="309"/>
      <c r="AU240" s="309"/>
      <c r="AV240" s="309"/>
      <c r="AW240" s="309"/>
      <c r="AX240" s="309"/>
      <c r="AY240" s="309"/>
      <c r="AZ240" s="309"/>
      <c r="BA240" s="309"/>
      <c r="BB240" s="309"/>
      <c r="BC240" s="309"/>
      <c r="BD240" s="309"/>
      <c r="BE240" s="309"/>
      <c r="BF240" s="309"/>
      <c r="BG240" s="309"/>
      <c r="BH240" s="309"/>
      <c r="BI240" s="309"/>
      <c r="BJ240" s="309"/>
      <c r="BK240" s="309"/>
      <c r="BL240" s="309"/>
      <c r="BM240" s="309"/>
      <c r="BN240" s="309"/>
      <c r="BO240" s="309"/>
      <c r="BP240" s="309"/>
      <c r="BQ240" s="309"/>
      <c r="BR240" s="309"/>
      <c r="BS240" s="309"/>
      <c r="BT240" s="309"/>
      <c r="BU240" s="309"/>
      <c r="BV240" s="309"/>
      <c r="BW240" s="309"/>
      <c r="BX240" s="309"/>
      <c r="BY240" s="309"/>
      <c r="BZ240" s="638"/>
      <c r="CA240" s="638"/>
      <c r="CB240" s="638"/>
      <c r="CC240" s="638"/>
      <c r="CD240" s="638"/>
      <c r="CE240" s="638"/>
      <c r="CF240" s="638"/>
      <c r="CG240" s="638"/>
      <c r="CH240" s="638"/>
      <c r="CI240" s="638"/>
      <c r="CJ240" s="638"/>
      <c r="CK240" s="309"/>
      <c r="CL240" s="309"/>
      <c r="CM240" s="309"/>
      <c r="CN240" s="309"/>
      <c r="CO240" s="309"/>
      <c r="CP240" s="309"/>
      <c r="CQ240" s="309"/>
      <c r="CR240" s="309"/>
      <c r="CS240" s="309"/>
      <c r="CT240" s="309"/>
      <c r="CU240" s="309"/>
      <c r="CV240" s="309"/>
      <c r="CW240" s="309"/>
      <c r="CX240" s="309"/>
      <c r="CY240" s="309"/>
      <c r="CZ240" s="309"/>
      <c r="DU240" s="309"/>
      <c r="DV240" s="309"/>
    </row>
    <row r="241" spans="1:131" x14ac:dyDescent="0.2">
      <c r="A241" s="309"/>
      <c r="B241" s="309"/>
      <c r="C241" s="309"/>
      <c r="D241" s="309"/>
      <c r="E241" s="309"/>
      <c r="F241" s="309"/>
      <c r="G241" s="309"/>
      <c r="H241" s="309"/>
      <c r="I241" s="309"/>
      <c r="J241" s="309"/>
      <c r="K241" s="309"/>
      <c r="L241" s="309"/>
      <c r="M241" s="309"/>
      <c r="N241" s="309"/>
      <c r="O241" s="309"/>
      <c r="P241" s="309"/>
      <c r="Q241" s="309"/>
      <c r="R241" s="309"/>
      <c r="S241" s="309"/>
      <c r="T241" s="309"/>
      <c r="U241" s="309"/>
      <c r="V241" s="309"/>
      <c r="W241" s="309"/>
      <c r="X241" s="309"/>
      <c r="Y241" s="309"/>
      <c r="Z241" s="309"/>
      <c r="AA241" s="309"/>
      <c r="AB241" s="309"/>
      <c r="AC241" s="309"/>
      <c r="AD241" s="309"/>
      <c r="AE241" s="309"/>
      <c r="AF241" s="309"/>
      <c r="AG241" s="309"/>
      <c r="AH241" s="309"/>
      <c r="AI241" s="309"/>
      <c r="AJ241" s="309"/>
      <c r="AK241" s="309"/>
      <c r="AL241" s="309"/>
      <c r="AM241" s="309"/>
      <c r="AN241" s="309"/>
      <c r="AO241" s="309"/>
      <c r="AP241" s="309"/>
      <c r="AQ241" s="309"/>
      <c r="AR241" s="309"/>
      <c r="AS241" s="309"/>
      <c r="AT241" s="309"/>
      <c r="AU241" s="309"/>
      <c r="AV241" s="309"/>
      <c r="AW241" s="309"/>
      <c r="AX241" s="309"/>
      <c r="AY241" s="309"/>
      <c r="AZ241" s="309"/>
      <c r="BA241" s="309"/>
      <c r="BB241" s="309"/>
      <c r="BC241" s="309"/>
      <c r="BD241" s="309"/>
      <c r="BE241" s="309"/>
      <c r="BF241" s="309"/>
      <c r="BG241" s="309"/>
      <c r="BH241" s="309"/>
      <c r="BI241" s="309"/>
      <c r="BJ241" s="309"/>
      <c r="BK241" s="309"/>
      <c r="BL241" s="309"/>
      <c r="BM241" s="309"/>
      <c r="BN241" s="309"/>
      <c r="BO241" s="309"/>
      <c r="BP241" s="309"/>
      <c r="BQ241" s="309"/>
      <c r="BR241" s="309"/>
      <c r="BS241" s="309"/>
      <c r="BT241" s="309"/>
      <c r="BU241" s="309"/>
      <c r="BV241" s="309"/>
      <c r="BW241" s="309"/>
      <c r="BX241" s="309"/>
      <c r="BY241" s="309"/>
      <c r="BZ241" s="643"/>
      <c r="CA241" s="309"/>
      <c r="CB241" s="309"/>
      <c r="CC241" s="309"/>
      <c r="CD241" s="309"/>
      <c r="CE241" s="643"/>
      <c r="CF241" s="309"/>
      <c r="CG241" s="309"/>
      <c r="CH241" s="309"/>
      <c r="CI241" s="309"/>
      <c r="CJ241" s="643"/>
      <c r="CK241" s="309"/>
      <c r="CL241" s="309"/>
      <c r="CM241" s="309"/>
      <c r="CN241" s="309"/>
      <c r="CO241" s="309"/>
      <c r="CP241" s="309"/>
      <c r="CQ241" s="309"/>
      <c r="CR241" s="309"/>
      <c r="CS241" s="309"/>
      <c r="CT241" s="309"/>
      <c r="CU241" s="309"/>
      <c r="CV241" s="309"/>
      <c r="CW241" s="309"/>
      <c r="CX241" s="309"/>
      <c r="CY241" s="309"/>
      <c r="CZ241" s="309"/>
      <c r="DU241" s="309"/>
      <c r="DV241" s="309"/>
    </row>
    <row r="242" spans="1:131" x14ac:dyDescent="0.2">
      <c r="A242" s="309"/>
      <c r="B242" s="309"/>
      <c r="C242" s="309"/>
      <c r="D242" s="309"/>
      <c r="E242" s="309"/>
      <c r="F242" s="309"/>
      <c r="G242" s="309"/>
      <c r="H242" s="309"/>
      <c r="I242" s="309"/>
      <c r="J242" s="309"/>
      <c r="K242" s="309"/>
      <c r="L242" s="309"/>
      <c r="M242" s="309"/>
      <c r="N242" s="309"/>
      <c r="O242" s="309"/>
      <c r="P242" s="309"/>
      <c r="Q242" s="309"/>
      <c r="R242" s="309"/>
      <c r="S242" s="309"/>
      <c r="T242" s="309"/>
      <c r="U242" s="309"/>
      <c r="V242" s="309"/>
      <c r="W242" s="309"/>
      <c r="X242" s="309"/>
      <c r="Y242" s="309"/>
      <c r="Z242" s="309"/>
      <c r="AA242" s="309"/>
      <c r="AB242" s="309"/>
      <c r="AC242" s="309"/>
      <c r="AD242" s="309"/>
      <c r="AE242" s="309"/>
      <c r="AF242" s="309"/>
      <c r="AG242" s="309"/>
      <c r="AH242" s="309"/>
      <c r="AI242" s="309"/>
      <c r="AJ242" s="309"/>
      <c r="AK242" s="309"/>
      <c r="AL242" s="309"/>
      <c r="AM242" s="309"/>
      <c r="AN242" s="309"/>
      <c r="AO242" s="309"/>
      <c r="AP242" s="309"/>
      <c r="AQ242" s="309"/>
      <c r="AR242" s="309"/>
      <c r="AS242" s="309"/>
      <c r="AT242" s="309"/>
      <c r="AU242" s="309"/>
      <c r="AV242" s="309"/>
      <c r="AW242" s="309"/>
      <c r="AX242" s="309"/>
      <c r="AY242" s="309"/>
      <c r="AZ242" s="309"/>
      <c r="BA242" s="309"/>
      <c r="BB242" s="309"/>
      <c r="BC242" s="309"/>
      <c r="BD242" s="309"/>
      <c r="BE242" s="309"/>
      <c r="BF242" s="309"/>
      <c r="BG242" s="309"/>
      <c r="BH242" s="309"/>
      <c r="BI242" s="309"/>
      <c r="BJ242" s="309"/>
      <c r="BK242" s="309"/>
      <c r="BL242" s="309"/>
      <c r="BM242" s="309"/>
      <c r="BN242" s="309"/>
      <c r="BO242" s="309"/>
      <c r="BP242" s="309"/>
      <c r="BQ242" s="309"/>
      <c r="BR242" s="309"/>
      <c r="BS242" s="309"/>
      <c r="BT242" s="309"/>
      <c r="BU242" s="309"/>
      <c r="BV242" s="309"/>
      <c r="BW242" s="309"/>
      <c r="BX242" s="309"/>
      <c r="BY242" s="309"/>
      <c r="BZ242" s="309"/>
      <c r="CA242" s="309"/>
      <c r="CB242" s="309"/>
      <c r="CC242" s="309"/>
      <c r="CD242" s="309"/>
      <c r="CE242" s="309"/>
      <c r="CF242" s="309"/>
      <c r="CG242" s="309"/>
      <c r="CH242" s="309"/>
      <c r="CI242" s="309"/>
      <c r="CJ242" s="309"/>
      <c r="CK242" s="309"/>
      <c r="CL242" s="309"/>
      <c r="CM242" s="309"/>
      <c r="CN242" s="309"/>
      <c r="CO242" s="309"/>
      <c r="CP242" s="309"/>
      <c r="CQ242" s="309"/>
      <c r="CR242" s="309"/>
      <c r="CS242" s="309"/>
      <c r="CT242" s="309"/>
      <c r="CU242" s="309"/>
      <c r="CV242" s="309"/>
      <c r="CW242" s="309"/>
      <c r="CX242" s="309"/>
      <c r="CY242" s="309"/>
      <c r="CZ242" s="309"/>
      <c r="DU242" s="309"/>
      <c r="DV242" s="309"/>
    </row>
    <row r="243" spans="1:131" x14ac:dyDescent="0.2">
      <c r="A243" s="309"/>
      <c r="B243" s="309"/>
      <c r="C243" s="309"/>
      <c r="D243" s="309"/>
      <c r="E243" s="309"/>
      <c r="F243" s="309"/>
      <c r="G243" s="309"/>
      <c r="H243" s="309"/>
      <c r="I243" s="309"/>
      <c r="J243" s="309"/>
      <c r="K243" s="309"/>
      <c r="L243" s="309"/>
      <c r="M243" s="309"/>
      <c r="N243" s="309"/>
      <c r="O243" s="309"/>
      <c r="P243" s="309"/>
      <c r="Q243" s="309"/>
      <c r="R243" s="309"/>
      <c r="S243" s="309"/>
      <c r="T243" s="309"/>
      <c r="U243" s="309"/>
      <c r="V243" s="309"/>
      <c r="W243" s="309"/>
      <c r="X243" s="309"/>
      <c r="Y243" s="309"/>
      <c r="Z243" s="309"/>
      <c r="AA243" s="309"/>
      <c r="AB243" s="309"/>
      <c r="AC243" s="309"/>
      <c r="AD243" s="309"/>
      <c r="AE243" s="309"/>
      <c r="AF243" s="309"/>
      <c r="AG243" s="309"/>
      <c r="AH243" s="309"/>
      <c r="AI243" s="309"/>
      <c r="AJ243" s="309"/>
      <c r="AK243" s="309"/>
      <c r="AL243" s="309"/>
      <c r="AM243" s="309"/>
      <c r="AN243" s="309"/>
      <c r="AO243" s="309"/>
      <c r="AP243" s="309"/>
      <c r="AQ243" s="309"/>
      <c r="AR243" s="309"/>
      <c r="AS243" s="309"/>
      <c r="AT243" s="309"/>
      <c r="AU243" s="309"/>
      <c r="AV243" s="309"/>
      <c r="AW243" s="309"/>
      <c r="AX243" s="309"/>
      <c r="AY243" s="309"/>
      <c r="AZ243" s="309"/>
      <c r="BA243" s="309"/>
      <c r="BB243" s="309"/>
      <c r="BC243" s="309"/>
      <c r="BD243" s="309"/>
      <c r="BE243" s="309"/>
      <c r="BF243" s="309"/>
      <c r="BG243" s="309"/>
      <c r="BH243" s="309"/>
      <c r="BI243" s="309"/>
      <c r="BJ243" s="309"/>
      <c r="BK243" s="309"/>
      <c r="BL243" s="309"/>
      <c r="BM243" s="309"/>
      <c r="BN243" s="309"/>
      <c r="BO243" s="309"/>
      <c r="BP243" s="309"/>
      <c r="BQ243" s="309"/>
      <c r="BR243" s="309"/>
      <c r="BS243" s="309"/>
      <c r="BT243" s="309"/>
      <c r="BU243" s="309"/>
      <c r="BV243" s="309"/>
      <c r="BW243" s="309"/>
      <c r="BX243" s="309"/>
      <c r="BY243" s="309"/>
      <c r="BZ243" s="309"/>
      <c r="CA243" s="309"/>
      <c r="CB243" s="309"/>
      <c r="CC243" s="309"/>
      <c r="CD243" s="309"/>
      <c r="CE243" s="309"/>
      <c r="CF243" s="309"/>
      <c r="CG243" s="309"/>
      <c r="CH243" s="309"/>
      <c r="CI243" s="309"/>
      <c r="CJ243" s="309"/>
      <c r="CK243" s="309"/>
      <c r="CL243" s="309"/>
      <c r="CM243" s="309"/>
      <c r="CN243" s="309"/>
      <c r="CO243" s="309"/>
      <c r="CP243" s="309"/>
      <c r="CQ243" s="309"/>
      <c r="CR243" s="309"/>
      <c r="CS243" s="309"/>
      <c r="CT243" s="309"/>
      <c r="CU243" s="309"/>
      <c r="CV243" s="309"/>
      <c r="CW243" s="309"/>
      <c r="CX243" s="309"/>
      <c r="CY243" s="309"/>
      <c r="CZ243" s="309"/>
      <c r="DU243" s="309"/>
      <c r="DV243" s="309"/>
    </row>
    <row r="244" spans="1:131" x14ac:dyDescent="0.2">
      <c r="A244" s="309"/>
      <c r="B244" s="309"/>
      <c r="C244" s="309"/>
      <c r="D244" s="309"/>
      <c r="E244" s="309"/>
      <c r="F244" s="309"/>
      <c r="G244" s="309"/>
      <c r="H244" s="309"/>
      <c r="I244" s="309"/>
      <c r="J244" s="309"/>
      <c r="K244" s="309"/>
      <c r="L244" s="309"/>
      <c r="M244" s="309"/>
      <c r="N244" s="309"/>
      <c r="O244" s="309"/>
      <c r="P244" s="309"/>
      <c r="Q244" s="309"/>
      <c r="R244" s="309"/>
      <c r="S244" s="309"/>
      <c r="T244" s="309"/>
      <c r="U244" s="309"/>
      <c r="V244" s="309"/>
      <c r="W244" s="309"/>
      <c r="X244" s="309"/>
      <c r="Y244" s="309"/>
      <c r="Z244" s="309"/>
      <c r="AA244" s="309"/>
      <c r="AB244" s="309"/>
      <c r="AC244" s="309"/>
      <c r="AD244" s="309"/>
      <c r="AE244" s="309"/>
      <c r="AF244" s="309"/>
      <c r="AG244" s="309"/>
      <c r="AH244" s="309"/>
      <c r="AI244" s="309"/>
      <c r="AJ244" s="309"/>
      <c r="AK244" s="309"/>
      <c r="AL244" s="309"/>
      <c r="AM244" s="309"/>
      <c r="AN244" s="309"/>
      <c r="AO244" s="309"/>
      <c r="AP244" s="309"/>
      <c r="AQ244" s="309"/>
      <c r="AR244" s="309"/>
      <c r="AS244" s="309"/>
      <c r="AT244" s="309"/>
      <c r="AU244" s="309"/>
      <c r="AV244" s="309"/>
      <c r="AW244" s="309"/>
      <c r="AX244" s="309"/>
      <c r="AY244" s="309"/>
      <c r="AZ244" s="309"/>
      <c r="BA244" s="309"/>
      <c r="BB244" s="309"/>
      <c r="BC244" s="309"/>
      <c r="BD244" s="309"/>
      <c r="BE244" s="309"/>
      <c r="BF244" s="876"/>
      <c r="BG244" s="877"/>
      <c r="BH244" s="877"/>
      <c r="BI244" s="877"/>
      <c r="BJ244" s="877"/>
      <c r="BK244" s="877"/>
      <c r="BL244" s="877"/>
      <c r="BM244" s="877"/>
      <c r="BN244" s="877"/>
      <c r="BO244" s="877"/>
      <c r="BP244" s="877"/>
      <c r="BQ244" s="309"/>
      <c r="BR244" s="309"/>
      <c r="BS244" s="309"/>
      <c r="BT244" s="309"/>
      <c r="BU244" s="309"/>
      <c r="BV244" s="309"/>
      <c r="BW244" s="309"/>
      <c r="BX244" s="309"/>
      <c r="BY244" s="309"/>
      <c r="BZ244" s="638"/>
      <c r="CA244" s="309"/>
      <c r="CB244" s="309"/>
      <c r="CC244" s="309"/>
      <c r="CD244" s="309"/>
      <c r="CE244" s="638"/>
      <c r="CF244" s="309"/>
      <c r="CG244" s="309"/>
      <c r="CH244" s="309"/>
      <c r="CI244" s="309"/>
      <c r="CJ244" s="638"/>
      <c r="CK244" s="309"/>
      <c r="CL244" s="309"/>
      <c r="CM244" s="309"/>
      <c r="CN244" s="309"/>
      <c r="CO244" s="309"/>
      <c r="CP244" s="309"/>
      <c r="CQ244" s="309"/>
      <c r="CR244" s="309"/>
      <c r="CS244" s="309"/>
      <c r="CT244" s="309"/>
      <c r="CU244" s="309"/>
      <c r="CV244" s="309"/>
      <c r="CW244" s="309"/>
      <c r="CX244" s="309"/>
      <c r="CY244" s="309"/>
      <c r="CZ244" s="309"/>
      <c r="DU244" s="309"/>
      <c r="DV244" s="309"/>
    </row>
    <row r="245" spans="1:131" x14ac:dyDescent="0.2">
      <c r="A245" s="309"/>
      <c r="B245" s="309"/>
      <c r="C245" s="309"/>
      <c r="D245" s="309"/>
      <c r="E245" s="309"/>
      <c r="F245" s="309"/>
      <c r="G245" s="309"/>
      <c r="H245" s="309"/>
      <c r="I245" s="309"/>
      <c r="J245" s="309"/>
      <c r="K245" s="309"/>
      <c r="L245" s="309"/>
      <c r="M245" s="309"/>
      <c r="N245" s="309"/>
      <c r="O245" s="309"/>
      <c r="P245" s="309"/>
      <c r="Q245" s="309"/>
      <c r="R245" s="309"/>
      <c r="S245" s="309"/>
      <c r="T245" s="309"/>
      <c r="U245" s="309"/>
      <c r="V245" s="309"/>
      <c r="W245" s="309"/>
      <c r="X245" s="309"/>
      <c r="Y245" s="309"/>
      <c r="Z245" s="309"/>
      <c r="AA245" s="309"/>
      <c r="AB245" s="309"/>
      <c r="AC245" s="309"/>
      <c r="AD245" s="309"/>
      <c r="AE245" s="309"/>
      <c r="AF245" s="309"/>
      <c r="AG245" s="309"/>
      <c r="AH245" s="309"/>
      <c r="AI245" s="309"/>
      <c r="AJ245" s="309"/>
      <c r="AK245" s="309"/>
      <c r="AL245" s="309"/>
      <c r="AM245" s="309"/>
      <c r="AN245" s="309"/>
      <c r="AO245" s="309"/>
      <c r="AP245" s="309"/>
      <c r="AQ245" s="309"/>
      <c r="AR245" s="309"/>
      <c r="AS245" s="309"/>
      <c r="AT245" s="309"/>
      <c r="AU245" s="309"/>
      <c r="AV245" s="309"/>
      <c r="AW245" s="309"/>
      <c r="AX245" s="309"/>
      <c r="AY245" s="309"/>
      <c r="AZ245" s="309"/>
      <c r="BA245" s="309"/>
      <c r="BB245" s="309"/>
      <c r="BC245" s="309"/>
      <c r="BD245" s="309"/>
      <c r="BE245" s="309"/>
      <c r="BF245" s="309"/>
      <c r="BG245" s="309"/>
      <c r="BH245" s="309"/>
      <c r="BI245" s="309"/>
      <c r="BJ245" s="309"/>
      <c r="BK245" s="309"/>
      <c r="BL245" s="309"/>
      <c r="BM245" s="309"/>
      <c r="BN245" s="309"/>
      <c r="BO245" s="309"/>
      <c r="BP245" s="309"/>
      <c r="BQ245" s="309"/>
      <c r="BR245" s="309"/>
      <c r="BS245" s="309"/>
      <c r="BT245" s="309"/>
      <c r="BU245" s="309"/>
      <c r="BV245" s="309"/>
      <c r="BW245" s="309"/>
      <c r="BX245" s="309"/>
      <c r="BY245" s="309"/>
      <c r="BZ245" s="644"/>
      <c r="CA245" s="644"/>
      <c r="CB245" s="644"/>
      <c r="CC245" s="644"/>
      <c r="CD245" s="644"/>
      <c r="CE245" s="644"/>
      <c r="CF245" s="644"/>
      <c r="CG245" s="644"/>
      <c r="CH245" s="644"/>
      <c r="CI245" s="644"/>
      <c r="CJ245" s="644"/>
      <c r="CK245" s="309"/>
      <c r="CL245" s="309"/>
      <c r="CM245" s="309"/>
      <c r="CN245" s="309"/>
      <c r="CO245" s="309"/>
      <c r="CP245" s="309"/>
      <c r="CQ245" s="309"/>
      <c r="CR245" s="309"/>
      <c r="CS245" s="309"/>
      <c r="CT245" s="309"/>
      <c r="CU245" s="309"/>
      <c r="CV245" s="309"/>
      <c r="CW245" s="309"/>
      <c r="CX245" s="309"/>
      <c r="CY245" s="309"/>
      <c r="CZ245" s="309"/>
      <c r="DU245" s="309"/>
      <c r="DV245" s="309"/>
    </row>
    <row r="246" spans="1:131" x14ac:dyDescent="0.2">
      <c r="A246" s="309"/>
      <c r="B246" s="309"/>
      <c r="C246" s="309"/>
      <c r="D246" s="309"/>
      <c r="E246" s="309"/>
      <c r="F246" s="309"/>
      <c r="G246" s="309"/>
      <c r="H246" s="309"/>
      <c r="I246" s="309"/>
      <c r="J246" s="309"/>
      <c r="K246" s="309"/>
      <c r="L246" s="309"/>
      <c r="M246" s="309"/>
      <c r="N246" s="309"/>
      <c r="O246" s="309"/>
      <c r="P246" s="309"/>
      <c r="Q246" s="309"/>
      <c r="R246" s="309"/>
      <c r="S246" s="309"/>
      <c r="T246" s="309"/>
      <c r="U246" s="309"/>
      <c r="V246" s="309"/>
      <c r="W246" s="309"/>
      <c r="X246" s="309"/>
      <c r="Y246" s="309"/>
      <c r="Z246" s="309"/>
      <c r="AA246" s="309"/>
      <c r="AB246" s="309"/>
      <c r="AC246" s="309"/>
      <c r="AD246" s="309"/>
      <c r="AE246" s="309"/>
      <c r="AF246" s="309"/>
      <c r="AG246" s="309"/>
      <c r="AH246" s="309"/>
      <c r="AI246" s="309"/>
      <c r="AJ246" s="309"/>
      <c r="AK246" s="309"/>
      <c r="AL246" s="309"/>
      <c r="AM246" s="309"/>
      <c r="AN246" s="309"/>
      <c r="AO246" s="309"/>
      <c r="AP246" s="309"/>
      <c r="AQ246" s="309"/>
      <c r="AR246" s="309"/>
      <c r="AS246" s="309"/>
      <c r="AT246" s="309"/>
      <c r="AU246" s="309"/>
      <c r="AV246" s="309"/>
      <c r="AW246" s="309"/>
      <c r="AX246" s="309"/>
      <c r="AY246" s="309"/>
      <c r="AZ246" s="309"/>
      <c r="BA246" s="309"/>
      <c r="BB246" s="309"/>
      <c r="BC246" s="309"/>
      <c r="BD246" s="309"/>
      <c r="BE246" s="309"/>
      <c r="BF246" s="309"/>
      <c r="BG246" s="309"/>
      <c r="BH246" s="309"/>
      <c r="BI246" s="309"/>
      <c r="BJ246" s="309"/>
      <c r="BK246" s="644"/>
      <c r="BL246" s="309"/>
      <c r="BM246" s="309"/>
      <c r="BN246" s="309"/>
      <c r="BO246" s="309"/>
      <c r="BP246" s="644"/>
      <c r="BQ246" s="309"/>
      <c r="BR246" s="309"/>
      <c r="BS246" s="309"/>
      <c r="BT246" s="309"/>
      <c r="BU246" s="309"/>
      <c r="BV246" s="309"/>
      <c r="BW246" s="309"/>
      <c r="BX246" s="309"/>
      <c r="BY246" s="309"/>
      <c r="BZ246" s="309"/>
      <c r="CA246" s="309"/>
      <c r="CB246" s="309"/>
      <c r="CC246" s="309"/>
      <c r="CD246" s="309"/>
      <c r="CE246" s="309"/>
      <c r="CF246" s="309"/>
      <c r="CG246" s="309"/>
      <c r="CH246" s="309"/>
      <c r="CI246" s="309"/>
      <c r="CJ246" s="309"/>
      <c r="CK246" s="309"/>
      <c r="CL246" s="309"/>
      <c r="CM246" s="309"/>
      <c r="CN246" s="309"/>
      <c r="CO246" s="309"/>
      <c r="CP246" s="309"/>
      <c r="CQ246" s="309"/>
      <c r="CR246" s="309"/>
      <c r="CS246" s="309"/>
      <c r="CT246" s="309"/>
      <c r="CU246" s="309"/>
      <c r="CV246" s="309"/>
      <c r="CW246" s="309"/>
      <c r="CX246" s="309"/>
      <c r="CY246" s="309"/>
      <c r="CZ246" s="309"/>
      <c r="DU246" s="309"/>
      <c r="DV246" s="309"/>
    </row>
    <row r="247" spans="1:131" x14ac:dyDescent="0.2">
      <c r="A247" s="309"/>
      <c r="B247" s="309"/>
      <c r="C247" s="309"/>
      <c r="D247" s="309"/>
      <c r="E247" s="309"/>
      <c r="F247" s="309"/>
      <c r="G247" s="309"/>
      <c r="H247" s="309"/>
      <c r="I247" s="309"/>
      <c r="J247" s="309"/>
      <c r="K247" s="309"/>
      <c r="L247" s="309"/>
      <c r="M247" s="309"/>
      <c r="N247" s="309"/>
      <c r="O247" s="309"/>
      <c r="P247" s="309"/>
      <c r="Q247" s="309"/>
      <c r="R247" s="309"/>
      <c r="S247" s="309"/>
      <c r="T247" s="309"/>
      <c r="U247" s="309"/>
      <c r="V247" s="309"/>
      <c r="W247" s="309"/>
      <c r="X247" s="309"/>
      <c r="Y247" s="309"/>
      <c r="Z247" s="309"/>
      <c r="AA247" s="309"/>
      <c r="AB247" s="309"/>
      <c r="AC247" s="309"/>
      <c r="AD247" s="309"/>
      <c r="AE247" s="309"/>
      <c r="AF247" s="309"/>
      <c r="AG247" s="309"/>
      <c r="AH247" s="309"/>
      <c r="AI247" s="309"/>
      <c r="AJ247" s="309"/>
      <c r="AK247" s="309"/>
      <c r="AL247" s="309"/>
      <c r="AM247" s="309"/>
      <c r="AN247" s="309"/>
      <c r="AO247" s="309"/>
      <c r="AP247" s="309"/>
      <c r="AQ247" s="309"/>
      <c r="AR247" s="309"/>
      <c r="AS247" s="309"/>
      <c r="AT247" s="309"/>
      <c r="AU247" s="309"/>
      <c r="AV247" s="309"/>
      <c r="AW247" s="309"/>
      <c r="AX247" s="309"/>
      <c r="AY247" s="309"/>
      <c r="AZ247" s="309"/>
      <c r="BA247" s="309"/>
      <c r="BB247" s="309"/>
      <c r="BC247" s="309"/>
      <c r="BD247" s="309"/>
      <c r="BE247" s="309"/>
      <c r="BF247" s="309"/>
      <c r="BG247" s="309"/>
      <c r="BH247" s="309"/>
      <c r="BI247" s="309"/>
      <c r="BJ247" s="309"/>
      <c r="BK247" s="309"/>
      <c r="BL247" s="309"/>
      <c r="BM247" s="309"/>
      <c r="BN247" s="309"/>
      <c r="BO247" s="309"/>
      <c r="BP247" s="309"/>
      <c r="BQ247" s="309"/>
      <c r="BR247" s="309"/>
      <c r="BS247" s="309"/>
      <c r="BT247" s="309"/>
      <c r="BU247" s="309"/>
      <c r="BV247" s="309"/>
      <c r="BW247" s="309"/>
      <c r="BX247" s="309"/>
      <c r="BY247" s="309"/>
      <c r="BZ247" s="309"/>
      <c r="CA247" s="309"/>
      <c r="CB247" s="309"/>
      <c r="CC247" s="309"/>
      <c r="CD247" s="309"/>
      <c r="CE247" s="309"/>
      <c r="CF247" s="309"/>
      <c r="CG247" s="309"/>
      <c r="CH247" s="309"/>
      <c r="CI247" s="309"/>
      <c r="CJ247" s="309"/>
      <c r="CK247" s="309"/>
      <c r="CL247" s="309"/>
      <c r="CM247" s="309"/>
      <c r="CN247" s="309"/>
      <c r="CO247" s="309"/>
      <c r="CP247" s="309"/>
      <c r="CQ247" s="309"/>
      <c r="CR247" s="309"/>
      <c r="CS247" s="309"/>
      <c r="CT247" s="309"/>
      <c r="CU247" s="309"/>
      <c r="CV247" s="309"/>
      <c r="CW247" s="309"/>
      <c r="CX247" s="309"/>
      <c r="CY247" s="309"/>
      <c r="CZ247" s="309"/>
      <c r="DU247" s="309"/>
      <c r="DV247" s="309"/>
    </row>
    <row r="248" spans="1:131" x14ac:dyDescent="0.2">
      <c r="A248" s="309"/>
      <c r="B248" s="309"/>
      <c r="C248" s="309"/>
      <c r="D248" s="309"/>
      <c r="E248" s="309"/>
      <c r="F248" s="309"/>
      <c r="G248" s="309"/>
      <c r="H248" s="309"/>
      <c r="I248" s="309"/>
      <c r="J248" s="309"/>
      <c r="K248" s="309"/>
      <c r="L248" s="309"/>
      <c r="M248" s="309"/>
      <c r="N248" s="309"/>
      <c r="O248" s="309"/>
      <c r="P248" s="309"/>
      <c r="Q248" s="309"/>
      <c r="R248" s="309"/>
      <c r="S248" s="309"/>
      <c r="T248" s="309"/>
      <c r="U248" s="309"/>
      <c r="V248" s="309"/>
      <c r="W248" s="309"/>
      <c r="X248" s="309"/>
      <c r="Y248" s="309"/>
      <c r="Z248" s="309"/>
      <c r="AA248" s="309"/>
      <c r="AB248" s="309"/>
      <c r="AC248" s="309"/>
      <c r="AD248" s="309"/>
      <c r="AE248" s="309"/>
      <c r="AF248" s="309"/>
      <c r="AG248" s="309"/>
      <c r="AH248" s="309"/>
      <c r="AI248" s="309"/>
      <c r="AJ248" s="309"/>
      <c r="AK248" s="309"/>
      <c r="AL248" s="309"/>
      <c r="AM248" s="309"/>
      <c r="AN248" s="309"/>
      <c r="AO248" s="309"/>
      <c r="AP248" s="309"/>
      <c r="AQ248" s="309"/>
      <c r="AR248" s="309"/>
      <c r="AS248" s="309"/>
      <c r="AT248" s="309"/>
      <c r="AU248" s="309"/>
      <c r="AV248" s="309"/>
      <c r="AW248" s="309"/>
      <c r="AX248" s="309"/>
      <c r="AY248" s="309"/>
      <c r="AZ248" s="309"/>
      <c r="BA248" s="309"/>
      <c r="BB248" s="309"/>
      <c r="BC248" s="309"/>
      <c r="BD248" s="309"/>
      <c r="BE248" s="309"/>
      <c r="BF248" s="309"/>
      <c r="BG248" s="309"/>
      <c r="BH248" s="309"/>
      <c r="BI248" s="309"/>
      <c r="BJ248" s="309"/>
      <c r="BK248" s="489"/>
      <c r="BL248" s="309"/>
      <c r="BM248" s="309"/>
      <c r="BN248" s="309"/>
      <c r="BO248" s="309"/>
      <c r="BP248" s="489"/>
      <c r="BQ248" s="309"/>
      <c r="BR248" s="309"/>
      <c r="BS248" s="309"/>
      <c r="BT248" s="309"/>
      <c r="BU248" s="489"/>
      <c r="BV248" s="309"/>
      <c r="BW248" s="309"/>
      <c r="BX248" s="309"/>
      <c r="BY248" s="309"/>
      <c r="BZ248" s="309"/>
      <c r="CA248" s="309"/>
      <c r="CB248" s="309"/>
      <c r="CC248" s="309"/>
      <c r="CD248" s="309"/>
      <c r="CE248" s="309"/>
      <c r="CF248" s="309"/>
      <c r="CG248" s="309"/>
      <c r="CH248" s="309"/>
      <c r="CI248" s="309"/>
      <c r="CJ248" s="309"/>
      <c r="CK248" s="309"/>
      <c r="CL248" s="309"/>
      <c r="CM248" s="309"/>
      <c r="CN248" s="309"/>
      <c r="CO248" s="309"/>
      <c r="CP248" s="309"/>
      <c r="CQ248" s="309"/>
      <c r="CR248" s="309"/>
      <c r="CS248" s="309"/>
      <c r="CT248" s="309"/>
      <c r="CU248" s="309"/>
      <c r="CV248" s="309"/>
      <c r="CW248" s="309"/>
      <c r="CX248" s="309"/>
      <c r="CY248" s="309"/>
      <c r="CZ248" s="309"/>
      <c r="DU248" s="309"/>
      <c r="DV248" s="309"/>
    </row>
    <row r="249" spans="1:131" x14ac:dyDescent="0.2">
      <c r="A249" s="309"/>
      <c r="B249" s="309"/>
      <c r="C249" s="309"/>
      <c r="D249" s="309"/>
      <c r="E249" s="309"/>
      <c r="F249" s="309"/>
      <c r="G249" s="309"/>
      <c r="H249" s="309"/>
      <c r="I249" s="309"/>
      <c r="J249" s="309"/>
      <c r="K249" s="309"/>
      <c r="L249" s="309"/>
      <c r="M249" s="309"/>
      <c r="N249" s="309"/>
      <c r="O249" s="309"/>
      <c r="P249" s="309"/>
      <c r="Q249" s="309"/>
      <c r="R249" s="309"/>
      <c r="S249" s="309"/>
      <c r="T249" s="309"/>
      <c r="U249" s="309"/>
      <c r="V249" s="309"/>
      <c r="W249" s="309"/>
      <c r="X249" s="309"/>
      <c r="Y249" s="309"/>
      <c r="Z249" s="309"/>
      <c r="AA249" s="309"/>
      <c r="AB249" s="309"/>
      <c r="AC249" s="309"/>
      <c r="AD249" s="309"/>
      <c r="AE249" s="309"/>
      <c r="AF249" s="309"/>
      <c r="AG249" s="309"/>
      <c r="AH249" s="309"/>
      <c r="AI249" s="309"/>
      <c r="AJ249" s="309"/>
      <c r="AK249" s="309"/>
      <c r="AL249" s="309"/>
      <c r="AM249" s="309"/>
      <c r="AN249" s="309"/>
      <c r="AO249" s="309"/>
      <c r="AP249" s="309"/>
      <c r="AQ249" s="309"/>
      <c r="AR249" s="309"/>
      <c r="AS249" s="309"/>
      <c r="AT249" s="309"/>
      <c r="AU249" s="309"/>
      <c r="AV249" s="309"/>
      <c r="AW249" s="309"/>
      <c r="AX249" s="309"/>
      <c r="AY249" s="309"/>
      <c r="AZ249" s="309"/>
      <c r="BA249" s="309"/>
      <c r="BB249" s="309"/>
      <c r="BC249" s="309"/>
      <c r="BD249" s="309"/>
      <c r="BE249" s="309"/>
      <c r="BF249" s="309"/>
      <c r="BG249" s="309"/>
      <c r="BH249" s="309"/>
      <c r="BI249" s="309"/>
      <c r="BJ249" s="309"/>
      <c r="BK249" s="309"/>
      <c r="BL249" s="309"/>
      <c r="BM249" s="309"/>
      <c r="BN249" s="309"/>
      <c r="BO249" s="309"/>
      <c r="BP249" s="309"/>
      <c r="BQ249" s="309"/>
      <c r="BR249" s="309"/>
      <c r="BS249" s="309"/>
      <c r="BT249" s="309"/>
      <c r="BU249" s="309"/>
      <c r="BV249" s="309"/>
      <c r="BW249" s="309"/>
      <c r="BX249" s="309"/>
      <c r="BY249" s="309"/>
      <c r="BZ249" s="309"/>
      <c r="CA249" s="309"/>
      <c r="CB249" s="309"/>
      <c r="CC249" s="309"/>
      <c r="CD249" s="309"/>
      <c r="CE249" s="309"/>
      <c r="CF249" s="309"/>
      <c r="CG249" s="309"/>
      <c r="CH249" s="309"/>
      <c r="CI249" s="309"/>
      <c r="CJ249" s="309"/>
      <c r="CK249" s="309"/>
      <c r="CL249" s="309"/>
      <c r="CM249" s="309"/>
      <c r="CN249" s="309"/>
      <c r="CO249" s="309"/>
      <c r="CP249" s="309"/>
      <c r="CQ249" s="309"/>
      <c r="CR249" s="309"/>
      <c r="CS249" s="309"/>
      <c r="CT249" s="309"/>
      <c r="CU249" s="309"/>
      <c r="CV249" s="309"/>
      <c r="CW249" s="309"/>
      <c r="CX249" s="309"/>
      <c r="CY249" s="309"/>
      <c r="CZ249" s="309"/>
      <c r="DU249" s="309"/>
      <c r="DV249" s="309"/>
    </row>
    <row r="250" spans="1:131" x14ac:dyDescent="0.2">
      <c r="A250" s="309"/>
      <c r="B250" s="309"/>
      <c r="C250" s="309"/>
      <c r="D250" s="309"/>
      <c r="E250" s="309"/>
      <c r="F250" s="309"/>
      <c r="G250" s="309"/>
      <c r="H250" s="309"/>
      <c r="I250" s="309"/>
      <c r="J250" s="309"/>
      <c r="K250" s="309"/>
      <c r="L250" s="309"/>
      <c r="M250" s="309"/>
      <c r="N250" s="309"/>
      <c r="O250" s="309"/>
      <c r="P250" s="309"/>
      <c r="Q250" s="309"/>
      <c r="R250" s="309"/>
      <c r="S250" s="309"/>
      <c r="T250" s="309"/>
      <c r="U250" s="309"/>
      <c r="V250" s="309"/>
      <c r="W250" s="309"/>
      <c r="X250" s="309"/>
      <c r="Y250" s="309"/>
      <c r="Z250" s="309"/>
      <c r="AA250" s="309"/>
      <c r="AB250" s="309"/>
      <c r="AC250" s="309"/>
      <c r="AD250" s="309"/>
      <c r="AE250" s="309"/>
      <c r="AF250" s="309"/>
      <c r="AG250" s="309"/>
      <c r="AH250" s="309"/>
      <c r="AI250" s="309"/>
      <c r="AJ250" s="309"/>
      <c r="AK250" s="309"/>
      <c r="AL250" s="309"/>
      <c r="AM250" s="309"/>
      <c r="AN250" s="309"/>
      <c r="AO250" s="309"/>
      <c r="AP250" s="309"/>
      <c r="AQ250" s="309"/>
      <c r="AR250" s="309"/>
      <c r="AS250" s="309"/>
      <c r="AT250" s="309"/>
      <c r="AU250" s="309"/>
      <c r="AV250" s="309"/>
      <c r="AW250" s="309"/>
      <c r="AX250" s="309"/>
      <c r="AY250" s="309"/>
      <c r="AZ250" s="309"/>
      <c r="BA250" s="309"/>
      <c r="BB250" s="309"/>
      <c r="BC250" s="309"/>
      <c r="BD250" s="309"/>
      <c r="BE250" s="309"/>
      <c r="BF250" s="309"/>
      <c r="BG250" s="309"/>
      <c r="BH250" s="309"/>
      <c r="BI250" s="309"/>
      <c r="BJ250" s="309"/>
      <c r="BK250" s="489"/>
      <c r="BL250" s="309"/>
      <c r="BM250" s="309"/>
      <c r="BN250" s="309"/>
      <c r="BO250" s="309"/>
      <c r="BP250" s="489"/>
      <c r="BQ250" s="309"/>
      <c r="BR250" s="309"/>
      <c r="BS250" s="309"/>
      <c r="BT250" s="309"/>
      <c r="BU250" s="489"/>
      <c r="BV250" s="309"/>
      <c r="BW250" s="309"/>
      <c r="BX250" s="309"/>
      <c r="BY250" s="309"/>
      <c r="BZ250" s="309"/>
      <c r="CA250" s="309"/>
      <c r="CB250" s="309"/>
      <c r="CC250" s="309"/>
      <c r="CD250" s="309"/>
      <c r="CE250" s="309"/>
      <c r="CF250" s="309"/>
      <c r="CG250" s="309"/>
      <c r="CH250" s="309"/>
      <c r="CI250" s="309"/>
      <c r="CJ250" s="309"/>
      <c r="CK250" s="309"/>
      <c r="CL250" s="309"/>
      <c r="CM250" s="309"/>
      <c r="CN250" s="309"/>
      <c r="CO250" s="309"/>
      <c r="CP250" s="309"/>
      <c r="CQ250" s="309"/>
      <c r="CR250" s="309"/>
      <c r="CS250" s="309"/>
      <c r="CT250" s="309"/>
      <c r="CU250" s="309"/>
      <c r="CV250" s="309"/>
      <c r="CW250" s="309"/>
      <c r="CX250" s="309"/>
      <c r="CY250" s="309"/>
      <c r="CZ250" s="309"/>
      <c r="DU250" s="309"/>
      <c r="DV250" s="309"/>
    </row>
    <row r="251" spans="1:131" x14ac:dyDescent="0.2">
      <c r="A251" s="309"/>
      <c r="B251" s="309"/>
      <c r="C251" s="309"/>
      <c r="D251" s="309"/>
      <c r="E251" s="309"/>
      <c r="F251" s="309"/>
      <c r="G251" s="309"/>
      <c r="H251" s="309"/>
      <c r="I251" s="309"/>
      <c r="J251" s="309"/>
      <c r="K251" s="309"/>
      <c r="L251" s="309"/>
      <c r="M251" s="309"/>
      <c r="N251" s="309"/>
      <c r="O251" s="309"/>
      <c r="P251" s="309"/>
      <c r="Q251" s="309"/>
      <c r="R251" s="309"/>
      <c r="S251" s="309"/>
      <c r="T251" s="309"/>
      <c r="U251" s="309"/>
      <c r="V251" s="309"/>
      <c r="W251" s="309"/>
      <c r="X251" s="309"/>
      <c r="Y251" s="309"/>
      <c r="Z251" s="309"/>
      <c r="AA251" s="309"/>
      <c r="AB251" s="309"/>
      <c r="AC251" s="309"/>
      <c r="AD251" s="309"/>
      <c r="AE251" s="309"/>
      <c r="AF251" s="309"/>
      <c r="AG251" s="309"/>
      <c r="AH251" s="309"/>
      <c r="AI251" s="309"/>
      <c r="AJ251" s="309"/>
      <c r="AK251" s="309"/>
      <c r="AL251" s="309"/>
      <c r="AM251" s="309"/>
      <c r="AN251" s="309"/>
      <c r="AO251" s="309"/>
      <c r="AP251" s="309"/>
      <c r="AQ251" s="309"/>
      <c r="AR251" s="309"/>
      <c r="AS251" s="309"/>
      <c r="AT251" s="309"/>
      <c r="AU251" s="309"/>
      <c r="AV251" s="309"/>
      <c r="AW251" s="309"/>
      <c r="AX251" s="309"/>
      <c r="AY251" s="309"/>
      <c r="AZ251" s="309"/>
      <c r="BA251" s="309"/>
      <c r="BB251" s="309"/>
      <c r="BC251" s="309"/>
      <c r="BD251" s="309"/>
      <c r="BE251" s="309"/>
      <c r="BF251" s="309"/>
      <c r="BG251" s="309"/>
      <c r="BH251" s="309"/>
      <c r="BI251" s="309"/>
      <c r="BJ251" s="309"/>
      <c r="BK251" s="309"/>
      <c r="BL251" s="309"/>
      <c r="BM251" s="309"/>
      <c r="BN251" s="309"/>
      <c r="BO251" s="309"/>
      <c r="BP251" s="309"/>
      <c r="BQ251" s="309"/>
      <c r="BR251" s="309"/>
      <c r="BS251" s="309"/>
      <c r="BT251" s="309"/>
      <c r="BU251" s="309"/>
      <c r="BV251" s="309"/>
      <c r="BW251" s="309"/>
      <c r="BX251" s="309"/>
      <c r="BY251" s="309"/>
      <c r="BZ251" s="309"/>
      <c r="CA251" s="309"/>
      <c r="CB251" s="309"/>
      <c r="CC251" s="309"/>
      <c r="CD251" s="309"/>
      <c r="CE251" s="309"/>
      <c r="CF251" s="309"/>
      <c r="CG251" s="309"/>
      <c r="CH251" s="309"/>
      <c r="CI251" s="309"/>
      <c r="CJ251" s="309"/>
      <c r="CK251" s="309"/>
      <c r="CL251" s="309"/>
      <c r="CM251" s="309"/>
      <c r="CN251" s="309"/>
      <c r="CO251" s="309"/>
      <c r="CP251" s="309"/>
      <c r="CQ251" s="309"/>
      <c r="CR251" s="309"/>
      <c r="CS251" s="309"/>
      <c r="CT251" s="309"/>
      <c r="CU251" s="309"/>
      <c r="CV251" s="309"/>
      <c r="CW251" s="309"/>
      <c r="CX251" s="309"/>
      <c r="CY251" s="309"/>
      <c r="CZ251" s="309"/>
      <c r="DU251" s="309"/>
      <c r="DV251" s="309"/>
    </row>
    <row r="252" spans="1:131" x14ac:dyDescent="0.2">
      <c r="A252" s="309"/>
      <c r="B252" s="309"/>
      <c r="C252" s="309"/>
      <c r="D252" s="309"/>
      <c r="E252" s="309"/>
      <c r="F252" s="309"/>
      <c r="G252" s="309"/>
      <c r="H252" s="309"/>
      <c r="I252" s="309"/>
      <c r="J252" s="309"/>
      <c r="K252" s="309"/>
      <c r="L252" s="309"/>
      <c r="M252" s="309"/>
      <c r="N252" s="309"/>
      <c r="O252" s="309"/>
      <c r="P252" s="309"/>
      <c r="Q252" s="309"/>
      <c r="R252" s="309"/>
      <c r="S252" s="309"/>
      <c r="T252" s="309"/>
      <c r="U252" s="309"/>
      <c r="V252" s="309"/>
      <c r="W252" s="309"/>
      <c r="X252" s="309"/>
      <c r="Y252" s="309"/>
      <c r="Z252" s="309"/>
      <c r="AA252" s="309"/>
      <c r="AB252" s="309"/>
      <c r="AC252" s="309"/>
      <c r="AD252" s="309"/>
      <c r="AE252" s="309"/>
      <c r="AF252" s="309"/>
      <c r="AG252" s="309"/>
      <c r="AH252" s="309"/>
      <c r="AI252" s="309"/>
      <c r="AJ252" s="309"/>
      <c r="AK252" s="309"/>
      <c r="AL252" s="309"/>
      <c r="AM252" s="309"/>
      <c r="AN252" s="309"/>
      <c r="AO252" s="309"/>
      <c r="AP252" s="309"/>
      <c r="AQ252" s="309"/>
      <c r="AR252" s="309"/>
      <c r="AS252" s="309"/>
      <c r="AT252" s="309"/>
      <c r="AU252" s="309"/>
      <c r="AV252" s="309"/>
      <c r="AW252" s="309"/>
      <c r="AX252" s="309"/>
      <c r="AY252" s="309"/>
      <c r="AZ252" s="309"/>
      <c r="BA252" s="309"/>
      <c r="BB252" s="309"/>
      <c r="BC252" s="309"/>
      <c r="BD252" s="309"/>
      <c r="BE252" s="309"/>
      <c r="BF252" s="309"/>
      <c r="BG252" s="309"/>
      <c r="BH252" s="309"/>
      <c r="BI252" s="309"/>
      <c r="BJ252" s="309"/>
      <c r="BK252" s="482"/>
      <c r="BL252" s="309"/>
      <c r="BM252" s="309"/>
      <c r="BN252" s="309"/>
      <c r="BO252" s="309"/>
      <c r="BP252" s="482"/>
      <c r="BQ252" s="644"/>
      <c r="BR252" s="644"/>
      <c r="BS252" s="644"/>
      <c r="BT252" s="644"/>
      <c r="BU252" s="482"/>
      <c r="BV252" s="309"/>
      <c r="BW252" s="309"/>
      <c r="BX252" s="309"/>
      <c r="BY252" s="309"/>
      <c r="BZ252" s="309"/>
      <c r="CA252" s="309"/>
      <c r="CB252" s="309"/>
      <c r="CC252" s="309"/>
      <c r="CD252" s="309"/>
      <c r="CE252" s="309"/>
      <c r="CF252" s="309"/>
      <c r="CG252" s="309"/>
      <c r="CH252" s="309"/>
      <c r="CI252" s="309"/>
      <c r="CJ252" s="309"/>
      <c r="CK252" s="309"/>
      <c r="CL252" s="309"/>
      <c r="CM252" s="309"/>
      <c r="CN252" s="309"/>
      <c r="CO252" s="309"/>
      <c r="CP252" s="309"/>
      <c r="CQ252" s="309"/>
      <c r="CR252" s="309"/>
      <c r="CS252" s="309"/>
      <c r="CT252" s="309"/>
      <c r="CU252" s="309"/>
      <c r="CV252" s="309"/>
      <c r="CW252" s="309"/>
      <c r="CX252" s="309"/>
      <c r="CY252" s="309"/>
      <c r="CZ252" s="309"/>
      <c r="DU252" s="309"/>
      <c r="DV252" s="309"/>
    </row>
    <row r="253" spans="1:131" x14ac:dyDescent="0.2">
      <c r="A253" s="309"/>
      <c r="B253" s="309"/>
      <c r="C253" s="309"/>
      <c r="D253" s="309"/>
      <c r="E253" s="309"/>
      <c r="F253" s="309"/>
      <c r="G253" s="309"/>
      <c r="H253" s="309"/>
      <c r="I253" s="309"/>
      <c r="J253" s="309"/>
      <c r="K253" s="309"/>
      <c r="L253" s="309"/>
      <c r="M253" s="309"/>
      <c r="N253" s="309"/>
      <c r="O253" s="309"/>
      <c r="P253" s="309"/>
      <c r="Q253" s="309"/>
      <c r="R253" s="309"/>
      <c r="S253" s="309"/>
      <c r="T253" s="309"/>
      <c r="U253" s="309"/>
      <c r="V253" s="309"/>
      <c r="W253" s="309"/>
      <c r="X253" s="309"/>
      <c r="Y253" s="309"/>
      <c r="Z253" s="309"/>
      <c r="AA253" s="309"/>
      <c r="AB253" s="309"/>
      <c r="AC253" s="309"/>
      <c r="AD253" s="309"/>
      <c r="AE253" s="309"/>
      <c r="AF253" s="309"/>
      <c r="AG253" s="309"/>
      <c r="AH253" s="309"/>
      <c r="AI253" s="309"/>
      <c r="AJ253" s="309"/>
      <c r="AK253" s="309"/>
      <c r="AL253" s="309"/>
      <c r="AM253" s="309"/>
      <c r="AN253" s="309"/>
      <c r="AO253" s="309"/>
      <c r="AP253" s="309"/>
      <c r="AQ253" s="309"/>
      <c r="AR253" s="309"/>
      <c r="AS253" s="309"/>
      <c r="AT253" s="309"/>
      <c r="AU253" s="309"/>
      <c r="AV253" s="309"/>
      <c r="AW253" s="309"/>
      <c r="AX253" s="309"/>
      <c r="AY253" s="309"/>
      <c r="AZ253" s="309"/>
      <c r="BA253" s="309"/>
      <c r="BB253" s="309"/>
      <c r="BC253" s="309"/>
      <c r="BD253" s="309"/>
      <c r="BE253" s="309"/>
      <c r="BF253" s="309"/>
      <c r="BG253" s="309"/>
      <c r="BH253" s="309"/>
      <c r="BI253" s="309"/>
      <c r="BJ253" s="309"/>
      <c r="BK253" s="309"/>
      <c r="BL253" s="309"/>
      <c r="BM253" s="309"/>
      <c r="BN253" s="309"/>
      <c r="BO253" s="309"/>
      <c r="BP253" s="309"/>
      <c r="BQ253" s="309"/>
      <c r="BR253" s="309"/>
      <c r="BS253" s="309"/>
      <c r="BT253" s="309"/>
      <c r="BU253" s="309"/>
      <c r="BV253" s="309"/>
      <c r="BW253" s="309"/>
      <c r="BX253" s="309"/>
      <c r="BY253" s="309"/>
      <c r="BZ253" s="309"/>
      <c r="CA253" s="309"/>
      <c r="CB253" s="309"/>
      <c r="CC253" s="309"/>
      <c r="CD253" s="309"/>
      <c r="CE253" s="309"/>
      <c r="CF253" s="309"/>
      <c r="CG253" s="309"/>
      <c r="CH253" s="309"/>
      <c r="CI253" s="309"/>
      <c r="CJ253" s="309"/>
      <c r="CK253" s="309"/>
      <c r="CL253" s="309"/>
      <c r="CM253" s="309"/>
      <c r="CN253" s="309"/>
      <c r="CO253" s="309"/>
      <c r="CP253" s="309"/>
      <c r="CQ253" s="309"/>
      <c r="CR253" s="309"/>
      <c r="CS253" s="309"/>
      <c r="CT253" s="309"/>
      <c r="CU253" s="309"/>
      <c r="CV253" s="309"/>
      <c r="CW253" s="309"/>
      <c r="CX253" s="309"/>
      <c r="CY253" s="309"/>
      <c r="CZ253" s="309"/>
      <c r="DU253" s="309"/>
      <c r="DV253" s="309"/>
    </row>
    <row r="254" spans="1:131" x14ac:dyDescent="0.2">
      <c r="A254" s="309"/>
      <c r="B254" s="309"/>
      <c r="C254" s="309"/>
      <c r="D254" s="309"/>
      <c r="E254" s="309"/>
      <c r="F254" s="309"/>
      <c r="G254" s="309"/>
      <c r="H254" s="309"/>
      <c r="I254" s="309"/>
      <c r="J254" s="309"/>
      <c r="K254" s="309"/>
      <c r="L254" s="309"/>
      <c r="M254" s="309"/>
      <c r="N254" s="309"/>
      <c r="O254" s="309"/>
      <c r="P254" s="309"/>
      <c r="Q254" s="309"/>
      <c r="R254" s="309"/>
      <c r="S254" s="309"/>
      <c r="T254" s="309"/>
      <c r="U254" s="309"/>
      <c r="V254" s="309"/>
      <c r="W254" s="309"/>
      <c r="X254" s="309"/>
      <c r="Y254" s="309"/>
      <c r="Z254" s="309"/>
      <c r="AA254" s="309"/>
      <c r="AB254" s="309"/>
      <c r="AC254" s="309"/>
      <c r="AD254" s="309"/>
      <c r="AE254" s="309"/>
      <c r="AF254" s="309"/>
      <c r="AG254" s="309"/>
      <c r="AH254" s="309"/>
      <c r="AI254" s="309"/>
      <c r="AJ254" s="309"/>
      <c r="AK254" s="309"/>
      <c r="AL254" s="309"/>
      <c r="AM254" s="309"/>
      <c r="AN254" s="309"/>
      <c r="AO254" s="309"/>
      <c r="AP254" s="309"/>
      <c r="AQ254" s="309"/>
      <c r="AR254" s="309"/>
      <c r="AS254" s="309"/>
      <c r="AT254" s="309"/>
      <c r="AU254" s="309"/>
      <c r="AV254" s="309"/>
      <c r="AW254" s="309"/>
      <c r="AX254" s="309"/>
      <c r="AY254" s="309"/>
      <c r="AZ254" s="309"/>
      <c r="BA254" s="309"/>
      <c r="BB254" s="309"/>
      <c r="BC254" s="309"/>
      <c r="BD254" s="309"/>
      <c r="BE254" s="309"/>
      <c r="BF254" s="309"/>
      <c r="BG254" s="309"/>
      <c r="BH254" s="309"/>
      <c r="BI254" s="309"/>
      <c r="BJ254" s="309"/>
      <c r="BK254" s="309"/>
      <c r="BL254" s="309"/>
      <c r="BM254" s="309"/>
      <c r="BN254" s="309"/>
      <c r="BO254" s="309"/>
      <c r="BP254" s="309"/>
      <c r="BQ254" s="309"/>
      <c r="BR254" s="309"/>
      <c r="BS254" s="309"/>
      <c r="BT254" s="309"/>
      <c r="BU254" s="309"/>
      <c r="BV254" s="309"/>
      <c r="BW254" s="309"/>
      <c r="BX254" s="309"/>
      <c r="BY254" s="309"/>
      <c r="BZ254" s="309"/>
      <c r="CA254" s="309"/>
      <c r="CB254" s="309"/>
      <c r="CC254" s="309"/>
      <c r="CD254" s="309"/>
      <c r="CE254" s="309"/>
      <c r="CF254" s="309"/>
      <c r="CG254" s="309"/>
      <c r="CH254" s="309"/>
      <c r="CI254" s="309"/>
      <c r="CJ254" s="309"/>
      <c r="CK254" s="309"/>
      <c r="CL254" s="309"/>
      <c r="CM254" s="309"/>
      <c r="CN254" s="309"/>
      <c r="CO254" s="309"/>
      <c r="CP254" s="309"/>
      <c r="CQ254" s="309"/>
      <c r="CR254" s="309"/>
      <c r="CS254" s="309"/>
      <c r="CT254" s="309"/>
      <c r="CU254" s="309"/>
      <c r="CV254" s="309"/>
      <c r="CW254" s="309"/>
      <c r="CX254" s="309"/>
      <c r="CY254" s="309"/>
      <c r="CZ254" s="309"/>
      <c r="DU254" s="309"/>
      <c r="DV254" s="309"/>
    </row>
    <row r="255" spans="1:131" x14ac:dyDescent="0.2">
      <c r="A255" s="754"/>
      <c r="B255" s="754"/>
      <c r="C255" s="754"/>
      <c r="D255" s="753"/>
      <c r="E255" s="753"/>
      <c r="F255" s="412"/>
      <c r="G255" s="412"/>
      <c r="H255" s="875"/>
      <c r="I255" s="412"/>
      <c r="J255" s="412"/>
      <c r="K255" s="412"/>
      <c r="L255" s="412"/>
      <c r="M255" s="875"/>
      <c r="N255" s="412"/>
      <c r="O255" s="412"/>
      <c r="P255" s="412"/>
      <c r="Q255" s="412"/>
      <c r="R255" s="875"/>
      <c r="S255" s="412"/>
      <c r="T255" s="412"/>
      <c r="U255" s="412"/>
      <c r="V255" s="412"/>
      <c r="W255" s="875"/>
      <c r="X255" s="412"/>
      <c r="Y255" s="412"/>
      <c r="Z255" s="412"/>
      <c r="AA255" s="412"/>
      <c r="AB255" s="875"/>
      <c r="AC255" s="412"/>
      <c r="AD255" s="412"/>
      <c r="AE255" s="412"/>
      <c r="AF255" s="412"/>
      <c r="AG255" s="875"/>
      <c r="AH255" s="412"/>
      <c r="AI255" s="412"/>
      <c r="AJ255" s="412"/>
      <c r="AK255" s="412"/>
      <c r="AL255" s="875"/>
      <c r="AM255" s="412"/>
      <c r="AN255" s="412"/>
      <c r="AO255" s="412"/>
      <c r="AP255" s="412"/>
      <c r="AQ255" s="875"/>
      <c r="AR255" s="412"/>
      <c r="AS255" s="412"/>
      <c r="AT255" s="412"/>
      <c r="AU255" s="412"/>
      <c r="AV255" s="875"/>
      <c r="AW255" s="412"/>
      <c r="AX255" s="412"/>
      <c r="AY255" s="412"/>
      <c r="AZ255" s="412"/>
      <c r="BA255" s="875"/>
      <c r="BB255" s="412"/>
      <c r="BC255" s="412"/>
      <c r="BD255" s="412"/>
      <c r="BE255" s="412"/>
      <c r="BF255" s="875"/>
      <c r="BG255" s="412"/>
      <c r="BH255" s="412"/>
      <c r="BI255" s="412"/>
      <c r="BJ255" s="412"/>
      <c r="BK255" s="875"/>
      <c r="BL255" s="412"/>
      <c r="BM255" s="412"/>
      <c r="BN255" s="412"/>
      <c r="BO255" s="412"/>
      <c r="BP255" s="875"/>
      <c r="BQ255" s="412"/>
      <c r="BR255" s="412"/>
      <c r="BS255" s="412"/>
      <c r="BT255" s="412"/>
      <c r="BU255" s="875"/>
      <c r="BV255" s="412"/>
      <c r="BW255" s="412"/>
      <c r="BX255" s="412"/>
      <c r="BY255" s="412"/>
      <c r="BZ255" s="875"/>
      <c r="CA255" s="412"/>
      <c r="CB255" s="412"/>
      <c r="CC255" s="412"/>
      <c r="CD255" s="412"/>
      <c r="CE255" s="875"/>
      <c r="CF255" s="412"/>
      <c r="CG255" s="412"/>
      <c r="CH255" s="412"/>
      <c r="CI255" s="412"/>
      <c r="CJ255" s="875"/>
      <c r="CK255" s="412"/>
      <c r="CL255" s="412"/>
      <c r="CM255" s="412"/>
      <c r="CN255" s="412"/>
      <c r="CO255" s="875"/>
      <c r="CP255" s="875"/>
      <c r="CQ255" s="875"/>
      <c r="CR255" s="875"/>
      <c r="CS255" s="875"/>
      <c r="CT255" s="875"/>
      <c r="CU255" s="875"/>
      <c r="CV255" s="875"/>
      <c r="CW255" s="875"/>
      <c r="CX255" s="875"/>
      <c r="CY255" s="875"/>
      <c r="CZ255" s="875"/>
      <c r="DA255" s="755"/>
      <c r="DB255" s="753"/>
      <c r="DC255" s="753"/>
      <c r="DD255" s="755"/>
      <c r="DE255" s="756"/>
      <c r="DF255" s="755"/>
      <c r="DG255" s="753"/>
      <c r="DH255" s="753"/>
      <c r="DI255" s="755"/>
      <c r="DJ255" s="755"/>
      <c r="DK255" s="755"/>
      <c r="DL255" s="755"/>
      <c r="DM255" s="755"/>
      <c r="DN255" s="755"/>
      <c r="DU255" s="754"/>
      <c r="DV255" s="754"/>
      <c r="DW255" s="755"/>
      <c r="DX255" s="755"/>
      <c r="DY255" s="755"/>
      <c r="DZ255" s="755"/>
      <c r="EA255" s="755"/>
    </row>
    <row r="256" spans="1:131" hidden="1" x14ac:dyDescent="0.2">
      <c r="A256" s="78" t="s">
        <v>249</v>
      </c>
      <c r="B256" s="48"/>
      <c r="C256" s="48"/>
      <c r="E256" s="128"/>
      <c r="F256" s="128"/>
      <c r="G256" s="128"/>
      <c r="H256" s="48"/>
      <c r="I256" s="128"/>
      <c r="J256" s="128"/>
      <c r="K256" s="128"/>
      <c r="L256" s="128"/>
      <c r="M256" s="128"/>
      <c r="N256" s="48"/>
      <c r="O256" s="48"/>
      <c r="P256" s="48"/>
      <c r="Q256" s="48"/>
      <c r="R256" s="48"/>
      <c r="S256" s="48"/>
      <c r="T256" s="48"/>
      <c r="U256" s="48"/>
      <c r="V256" s="48"/>
      <c r="W256" s="48"/>
      <c r="X256" s="48"/>
      <c r="Y256" s="48"/>
      <c r="Z256" s="48"/>
      <c r="AA256" s="48"/>
      <c r="AB256" s="48"/>
      <c r="AC256" s="48"/>
      <c r="AD256" s="48"/>
      <c r="AE256" s="48"/>
      <c r="AF256" s="48"/>
      <c r="AG256" s="48"/>
      <c r="AH256" s="48"/>
      <c r="AI256" s="48"/>
      <c r="AJ256" s="48"/>
      <c r="AK256" s="48"/>
      <c r="AL256" s="48"/>
      <c r="AM256" s="48"/>
      <c r="AN256" s="48"/>
      <c r="AO256" s="48"/>
      <c r="AP256" s="48"/>
      <c r="AQ256" s="48"/>
      <c r="AR256" s="48"/>
      <c r="AS256" s="48"/>
      <c r="AT256" s="48"/>
      <c r="AU256" s="48"/>
      <c r="AV256" s="2">
        <v>116</v>
      </c>
      <c r="BA256" s="48">
        <v>121.9</v>
      </c>
      <c r="BB256" s="48"/>
      <c r="BC256" s="48"/>
      <c r="BD256" s="287"/>
      <c r="BE256" s="48"/>
      <c r="BF256" s="48">
        <v>278.5</v>
      </c>
      <c r="BG256" s="48"/>
      <c r="BH256" s="48"/>
      <c r="BI256" s="48"/>
      <c r="BJ256" s="48"/>
      <c r="BK256" s="48">
        <v>406.1</v>
      </c>
      <c r="BL256" s="48"/>
      <c r="BM256" s="48"/>
      <c r="BN256" s="48"/>
      <c r="BO256" s="48"/>
      <c r="BP256" s="48">
        <v>468.3</v>
      </c>
      <c r="BQ256" s="48"/>
      <c r="BR256" s="48"/>
      <c r="BS256" s="48"/>
      <c r="BT256" s="48"/>
      <c r="BU256" s="48"/>
      <c r="BV256" s="48"/>
      <c r="BW256" s="48"/>
      <c r="BX256" s="48"/>
      <c r="BY256" s="48"/>
      <c r="BZ256" s="48"/>
      <c r="CA256" s="48"/>
      <c r="CB256" s="48"/>
      <c r="CC256" s="48"/>
      <c r="CD256" s="48"/>
      <c r="CE256" s="48"/>
      <c r="CF256" s="48"/>
      <c r="CG256" s="48"/>
      <c r="CH256" s="48"/>
      <c r="CI256" s="48"/>
      <c r="CJ256" s="48"/>
      <c r="CK256" s="48"/>
      <c r="CL256" s="48"/>
      <c r="CM256" s="48"/>
      <c r="CN256" s="48"/>
      <c r="CO256" s="48"/>
      <c r="CP256" s="48"/>
      <c r="CQ256" s="48"/>
      <c r="CR256" s="48"/>
      <c r="CS256" s="48"/>
      <c r="CT256" s="48"/>
      <c r="CU256" s="48"/>
      <c r="CV256" s="48"/>
      <c r="CW256" s="48"/>
      <c r="CX256" s="48"/>
      <c r="CY256" s="48"/>
      <c r="CZ256" s="272"/>
      <c r="DA256" s="730"/>
      <c r="DD256" s="730"/>
      <c r="DF256" s="730"/>
      <c r="DI256" s="730"/>
      <c r="DJ256" s="730"/>
      <c r="DK256" s="730"/>
      <c r="DL256" s="730"/>
      <c r="DM256" s="730"/>
      <c r="DN256" s="730"/>
      <c r="DU256" s="48"/>
      <c r="DV256" s="48"/>
      <c r="DW256" s="730"/>
      <c r="DX256" s="730"/>
      <c r="DY256" s="730"/>
      <c r="DZ256" s="730"/>
      <c r="EA256" s="730"/>
    </row>
    <row r="257" spans="1:131" hidden="1" x14ac:dyDescent="0.2">
      <c r="A257" s="48"/>
      <c r="B257" s="48" t="s">
        <v>61</v>
      </c>
      <c r="C257" s="48"/>
      <c r="F257" s="48"/>
      <c r="G257" s="48"/>
      <c r="H257" s="48"/>
      <c r="I257" s="48"/>
      <c r="J257" s="48"/>
      <c r="K257" s="48"/>
      <c r="L257" s="48"/>
      <c r="M257" s="48"/>
      <c r="N257" s="48"/>
      <c r="O257" s="48"/>
      <c r="P257" s="48"/>
      <c r="Q257" s="48"/>
      <c r="R257" s="48"/>
      <c r="S257" s="252"/>
      <c r="T257" s="252"/>
      <c r="U257" s="252"/>
      <c r="V257" s="48"/>
      <c r="W257" s="48"/>
      <c r="X257" s="48"/>
      <c r="Y257" s="48"/>
      <c r="Z257" s="48"/>
      <c r="AA257" s="48"/>
      <c r="AB257" s="48"/>
      <c r="AC257" s="48"/>
      <c r="AD257" s="48"/>
      <c r="AE257" s="48"/>
      <c r="AF257" s="48"/>
      <c r="AG257" s="48"/>
      <c r="AH257" s="48"/>
      <c r="AI257" s="48"/>
      <c r="AJ257" s="48"/>
      <c r="AK257" s="48"/>
      <c r="AL257" s="48"/>
      <c r="AM257" s="48"/>
      <c r="AN257" s="48"/>
      <c r="AO257" s="48"/>
      <c r="AP257" s="48"/>
      <c r="AQ257" s="48"/>
      <c r="AR257" s="48"/>
      <c r="AS257" s="48"/>
      <c r="AT257" s="48"/>
      <c r="AU257" s="48"/>
      <c r="AV257" s="127">
        <f>+AV256/AV5</f>
        <v>4.3702671137399687E-2</v>
      </c>
      <c r="AW257" s="48"/>
      <c r="AX257" s="48"/>
      <c r="AY257" s="287"/>
      <c r="AZ257" s="48"/>
      <c r="BA257" s="127">
        <f>+BA256/BA5</f>
        <v>4.3596437895640362E-2</v>
      </c>
      <c r="BB257" s="48"/>
      <c r="BC257" s="48"/>
      <c r="BD257" s="48"/>
      <c r="BE257" s="48"/>
      <c r="BF257" s="127">
        <f>+BF256/BF5</f>
        <v>5.7213879244817883E-2</v>
      </c>
      <c r="BG257" s="48"/>
      <c r="BH257" s="48"/>
      <c r="BI257" s="48"/>
      <c r="BJ257" s="48"/>
      <c r="BK257" s="127">
        <f>+BK256/BK5</f>
        <v>6.7368944923689458E-2</v>
      </c>
      <c r="BL257" s="48"/>
      <c r="BM257" s="48"/>
      <c r="BN257" s="48"/>
      <c r="BO257" s="48"/>
      <c r="BP257" s="127">
        <f>+BP256/BP5</f>
        <v>7.1513652189847912E-2</v>
      </c>
      <c r="BQ257" s="48"/>
      <c r="BR257" s="48"/>
      <c r="BS257" s="48"/>
      <c r="BT257" s="48"/>
      <c r="BU257" s="127"/>
      <c r="BV257" s="48"/>
      <c r="BW257" s="48"/>
      <c r="BX257" s="48"/>
      <c r="BY257" s="48"/>
      <c r="BZ257" s="48"/>
      <c r="CA257" s="48"/>
      <c r="CB257" s="48"/>
      <c r="CC257" s="48"/>
      <c r="CD257" s="48"/>
      <c r="CE257" s="48"/>
      <c r="CF257" s="48"/>
      <c r="CG257" s="48"/>
      <c r="CH257" s="48"/>
      <c r="CI257" s="48"/>
      <c r="CJ257" s="48"/>
      <c r="CK257" s="48"/>
      <c r="CL257" s="48"/>
      <c r="CM257" s="48"/>
      <c r="CN257" s="48"/>
      <c r="CO257" s="48"/>
      <c r="CP257" s="48"/>
      <c r="CQ257" s="48"/>
      <c r="CR257" s="48"/>
      <c r="CS257" s="48"/>
      <c r="CT257" s="48"/>
      <c r="CU257" s="48"/>
      <c r="CV257" s="48"/>
      <c r="CW257" s="48"/>
      <c r="CX257" s="48"/>
      <c r="CY257" s="48"/>
      <c r="CZ257" s="272"/>
      <c r="DA257" s="730"/>
      <c r="DD257" s="730"/>
      <c r="DF257" s="730"/>
      <c r="DI257" s="730"/>
      <c r="DJ257" s="730"/>
      <c r="DK257" s="730"/>
      <c r="DL257" s="730"/>
      <c r="DM257" s="730"/>
      <c r="DN257" s="730"/>
      <c r="DU257" s="48"/>
      <c r="DV257" s="48"/>
      <c r="DW257" s="730"/>
      <c r="DX257" s="730"/>
      <c r="DY257" s="730"/>
      <c r="DZ257" s="730"/>
      <c r="EA257" s="730"/>
    </row>
    <row r="258" spans="1:131" hidden="1" x14ac:dyDescent="0.2">
      <c r="A258" s="48"/>
      <c r="B258" s="48"/>
      <c r="C258" s="48"/>
      <c r="F258" s="48"/>
      <c r="G258" s="48"/>
      <c r="H258" s="48"/>
      <c r="I258" s="48"/>
      <c r="J258" s="48"/>
      <c r="K258" s="48"/>
      <c r="L258" s="48"/>
      <c r="M258" s="48"/>
      <c r="N258" s="48"/>
      <c r="O258" s="48"/>
      <c r="P258" s="48"/>
      <c r="Q258" s="48"/>
      <c r="R258" s="48"/>
      <c r="S258" s="48"/>
      <c r="T258" s="48"/>
      <c r="U258" s="48"/>
      <c r="V258" s="48"/>
      <c r="W258" s="48"/>
      <c r="X258" s="48"/>
      <c r="Y258" s="48"/>
      <c r="Z258" s="48"/>
      <c r="AA258" s="48"/>
      <c r="AB258" s="48"/>
      <c r="AC258" s="48"/>
      <c r="AD258" s="48"/>
      <c r="AE258" s="48"/>
      <c r="AF258" s="48"/>
      <c r="AG258" s="48"/>
      <c r="AH258" s="48"/>
      <c r="AI258" s="48"/>
      <c r="AJ258" s="48"/>
      <c r="AK258" s="48"/>
      <c r="AL258" s="48"/>
      <c r="AM258" s="48"/>
      <c r="AN258" s="48"/>
      <c r="AO258" s="48"/>
      <c r="AP258" s="48"/>
      <c r="AQ258" s="48"/>
      <c r="AR258" s="48"/>
      <c r="AS258" s="48"/>
      <c r="AT258" s="48"/>
      <c r="AU258" s="48"/>
      <c r="AV258" s="48"/>
      <c r="AW258" s="48"/>
      <c r="AX258" s="48"/>
      <c r="AY258" s="48"/>
      <c r="AZ258" s="48"/>
      <c r="BA258" s="48"/>
      <c r="BB258" s="48"/>
      <c r="BC258" s="48"/>
      <c r="BD258" s="48"/>
      <c r="BE258" s="48"/>
      <c r="BF258" s="48"/>
      <c r="BG258" s="48"/>
      <c r="BH258" s="48"/>
      <c r="BI258" s="48"/>
      <c r="BJ258" s="48"/>
      <c r="BK258" s="48"/>
      <c r="BL258" s="48"/>
      <c r="BM258" s="48"/>
      <c r="BN258" s="48"/>
      <c r="BO258" s="48"/>
      <c r="BP258" s="48"/>
      <c r="BQ258" s="48"/>
      <c r="BR258" s="48"/>
      <c r="BS258" s="48"/>
      <c r="BT258" s="48"/>
      <c r="BU258" s="48"/>
      <c r="BV258" s="48"/>
      <c r="BW258" s="48"/>
      <c r="BX258" s="48"/>
      <c r="BY258" s="48"/>
      <c r="BZ258" s="48"/>
      <c r="CA258" s="48"/>
      <c r="CB258" s="48"/>
      <c r="CC258" s="48"/>
      <c r="CD258" s="48"/>
      <c r="CE258" s="48"/>
      <c r="CF258" s="48"/>
      <c r="CG258" s="48"/>
      <c r="CH258" s="48"/>
      <c r="CI258" s="48"/>
      <c r="CJ258" s="48"/>
      <c r="CK258" s="48"/>
      <c r="CL258" s="48"/>
      <c r="CM258" s="48"/>
      <c r="CN258" s="48"/>
      <c r="CO258" s="48"/>
      <c r="CP258" s="48"/>
      <c r="CQ258" s="48"/>
      <c r="CR258" s="48"/>
      <c r="CS258" s="48"/>
      <c r="CT258" s="48"/>
      <c r="CU258" s="48"/>
      <c r="CV258" s="48"/>
      <c r="CW258" s="48"/>
      <c r="CX258" s="48"/>
      <c r="CY258" s="48"/>
      <c r="CZ258" s="272"/>
      <c r="DA258" s="730"/>
      <c r="DD258" s="730"/>
      <c r="DF258" s="730"/>
      <c r="DI258" s="730"/>
      <c r="DJ258" s="730"/>
      <c r="DK258" s="730"/>
      <c r="DL258" s="730"/>
      <c r="DM258" s="730"/>
      <c r="DN258" s="730"/>
      <c r="DU258" s="48"/>
      <c r="DV258" s="48"/>
      <c r="DW258" s="730"/>
      <c r="DX258" s="730"/>
      <c r="DY258" s="730"/>
      <c r="DZ258" s="730"/>
      <c r="EA258" s="730"/>
    </row>
    <row r="259" spans="1:131" customFormat="1" hidden="1" outlineLevel="1" x14ac:dyDescent="0.2"/>
    <row r="260" spans="1:131" hidden="1" outlineLevel="1" x14ac:dyDescent="0.2">
      <c r="A260" s="273" t="s">
        <v>211</v>
      </c>
      <c r="B260" s="273"/>
      <c r="C260" s="274"/>
      <c r="D260" s="274"/>
      <c r="E260" s="274"/>
      <c r="F260" s="274"/>
      <c r="G260" s="274"/>
      <c r="H260" s="274"/>
      <c r="I260" s="95">
        <v>0.09</v>
      </c>
      <c r="J260" s="95">
        <v>8.8164827059350512E-2</v>
      </c>
      <c r="K260" s="95">
        <v>5.9734818404291436E-2</v>
      </c>
      <c r="L260" s="95">
        <v>0.11</v>
      </c>
      <c r="M260" s="95">
        <v>0.09</v>
      </c>
      <c r="N260" s="95">
        <v>5.1422024037398706E-2</v>
      </c>
      <c r="O260" s="95">
        <v>3.184173448634002E-2</v>
      </c>
      <c r="P260" s="95">
        <v>0.06</v>
      </c>
      <c r="Q260" s="95">
        <v>2.4226549392346933E-2</v>
      </c>
      <c r="R260" s="95">
        <v>4.2640370752027881E-2</v>
      </c>
      <c r="S260" s="95">
        <v>7.4138718782346333E-2</v>
      </c>
      <c r="T260" s="95">
        <v>7.0000000000000007E-2</v>
      </c>
      <c r="U260" s="95">
        <v>0.04</v>
      </c>
      <c r="V260" s="95">
        <v>7.0000000000000007E-2</v>
      </c>
      <c r="W260" s="95">
        <v>0.06</v>
      </c>
      <c r="X260" s="95">
        <v>-0.02</v>
      </c>
      <c r="Y260" s="95">
        <v>-1.3892572731096536E-2</v>
      </c>
      <c r="Z260" s="95">
        <v>0.06</v>
      </c>
      <c r="AA260" s="95">
        <v>0</v>
      </c>
      <c r="AB260" s="95">
        <v>0.01</v>
      </c>
      <c r="AC260" s="95">
        <v>0.13989147712524205</v>
      </c>
      <c r="AD260" s="95">
        <v>5.3784412922810713E-2</v>
      </c>
      <c r="AE260" s="95">
        <v>5.6227377583418277E-3</v>
      </c>
      <c r="AF260" s="95">
        <v>-3.4641082898648159E-2</v>
      </c>
      <c r="AG260" s="95">
        <v>3.7756376363728368E-2</v>
      </c>
      <c r="AH260" s="95">
        <v>1.8641264234817392E-2</v>
      </c>
      <c r="AI260" s="95">
        <v>7.2039760712265116E-2</v>
      </c>
      <c r="AJ260" s="95">
        <v>-4.8945467628792871E-3</v>
      </c>
      <c r="AK260" s="95">
        <v>-0.02</v>
      </c>
      <c r="AL260" s="95">
        <v>2.1983915109422832E-2</v>
      </c>
      <c r="AM260" s="95">
        <f t="shared" ref="AM260:BR260" si="361">+AM6</f>
        <v>0</v>
      </c>
      <c r="AN260" s="95">
        <f t="shared" si="361"/>
        <v>0.02</v>
      </c>
      <c r="AO260" s="95">
        <f t="shared" si="361"/>
        <v>2E-3</v>
      </c>
      <c r="AP260" s="95">
        <f t="shared" si="361"/>
        <v>0.1</v>
      </c>
      <c r="AQ260" s="95">
        <f t="shared" si="361"/>
        <v>0.03</v>
      </c>
      <c r="AR260" s="95">
        <f t="shared" si="361"/>
        <v>0.02</v>
      </c>
      <c r="AS260" s="95">
        <f t="shared" si="361"/>
        <v>0</v>
      </c>
      <c r="AT260" s="95">
        <f t="shared" si="361"/>
        <v>-0.08</v>
      </c>
      <c r="AU260" s="95">
        <f t="shared" si="361"/>
        <v>0.04</v>
      </c>
      <c r="AV260" s="95">
        <f t="shared" si="361"/>
        <v>-0.20339135654261697</v>
      </c>
      <c r="AW260" s="95">
        <f t="shared" si="361"/>
        <v>-7.8702974972455486E-4</v>
      </c>
      <c r="AX260" s="95">
        <f t="shared" si="361"/>
        <v>1.2025499855114363E-2</v>
      </c>
      <c r="AY260" s="95">
        <f t="shared" si="361"/>
        <v>9.4476951619808736E-2</v>
      </c>
      <c r="AZ260" s="95">
        <f t="shared" si="361"/>
        <v>0.1079445948097435</v>
      </c>
      <c r="BA260" s="95">
        <f t="shared" si="361"/>
        <v>5.3422747993821185E-2</v>
      </c>
      <c r="BB260" s="95">
        <f t="shared" si="361"/>
        <v>6.0806553245116524E-2</v>
      </c>
      <c r="BC260" s="95">
        <f t="shared" si="361"/>
        <v>1.0899069434502504</v>
      </c>
      <c r="BD260" s="95">
        <f t="shared" si="361"/>
        <v>0.8819924370843657</v>
      </c>
      <c r="BE260" s="95">
        <f t="shared" si="361"/>
        <v>0.85543899985630123</v>
      </c>
      <c r="BF260" s="95">
        <f t="shared" si="361"/>
        <v>0.74088909552591109</v>
      </c>
      <c r="BG260" s="95">
        <f t="shared" si="361"/>
        <v>1.2661122661122661</v>
      </c>
      <c r="BH260" s="95">
        <f t="shared" si="361"/>
        <v>0.10124674612960671</v>
      </c>
      <c r="BI260" s="95">
        <f t="shared" si="361"/>
        <v>6.8038522829626524E-2</v>
      </c>
      <c r="BJ260" s="95">
        <f t="shared" si="361"/>
        <v>4.7785006195786961E-2</v>
      </c>
      <c r="BK260" s="95">
        <f t="shared" si="361"/>
        <v>6.6677932090616121E-2</v>
      </c>
      <c r="BL260" s="95">
        <f t="shared" si="361"/>
        <v>7.0000000000000007E-2</v>
      </c>
      <c r="BM260" s="95">
        <f t="shared" si="361"/>
        <v>9.1028365264991404E-2</v>
      </c>
      <c r="BN260" s="95">
        <f t="shared" si="361"/>
        <v>5.6764190723321381E-2</v>
      </c>
      <c r="BO260" s="95">
        <f t="shared" si="361"/>
        <v>0.10520356271712618</v>
      </c>
      <c r="BP260" s="95">
        <f t="shared" si="361"/>
        <v>8.3148324485733241E-2</v>
      </c>
      <c r="BQ260" s="95">
        <f t="shared" si="361"/>
        <v>0.10087353644332737</v>
      </c>
      <c r="BR260" s="95">
        <f t="shared" si="361"/>
        <v>0.12449521172262605</v>
      </c>
      <c r="BS260" s="95">
        <f t="shared" ref="BS260:CO260" si="362">+BS6</f>
        <v>6.8698567509905453E-2</v>
      </c>
      <c r="BT260" s="95">
        <f t="shared" si="362"/>
        <v>7.3337605204136083E-2</v>
      </c>
      <c r="BU260" s="95">
        <f t="shared" si="362"/>
        <v>9.2576750404835165E-2</v>
      </c>
      <c r="BV260" s="95">
        <f t="shared" si="362"/>
        <v>7.0190463460681321E-2</v>
      </c>
      <c r="BW260" s="95">
        <f t="shared" si="362"/>
        <v>7.3646501393842531E-2</v>
      </c>
      <c r="BX260" s="95">
        <f t="shared" si="362"/>
        <v>4.3014654586309847E-2</v>
      </c>
      <c r="BY260" s="95">
        <f t="shared" si="362"/>
        <v>9.9646552180856426E-2</v>
      </c>
      <c r="BZ260" s="95">
        <f t="shared" si="362"/>
        <v>7.0973121080527321E-2</v>
      </c>
      <c r="CA260" s="95">
        <f t="shared" si="362"/>
        <v>6.9805998579178574E-2</v>
      </c>
      <c r="CB260" s="95">
        <f t="shared" si="362"/>
        <v>8.3145522667306362E-2</v>
      </c>
      <c r="CC260" s="95">
        <f t="shared" si="362"/>
        <v>9.7906785892946532E-2</v>
      </c>
      <c r="CD260" s="95">
        <f t="shared" si="362"/>
        <v>7.292002888045758E-2</v>
      </c>
      <c r="CE260" s="95">
        <f t="shared" si="362"/>
        <v>8.0862218820039619E-2</v>
      </c>
      <c r="CF260" s="95">
        <f t="shared" si="362"/>
        <v>6.6648027109852973E-2</v>
      </c>
      <c r="CG260" s="95">
        <f t="shared" si="362"/>
        <v>6.6471029077204341E-2</v>
      </c>
      <c r="CH260" s="95">
        <f t="shared" si="362"/>
        <v>6.2343583616485648E-2</v>
      </c>
      <c r="CI260" s="95">
        <f t="shared" si="362"/>
        <v>6.1885751861657935E-2</v>
      </c>
      <c r="CJ260" s="95">
        <f t="shared" si="362"/>
        <v>6.4461664553458323E-2</v>
      </c>
      <c r="CK260" s="95">
        <f t="shared" si="362"/>
        <v>5.4782087463957657E-2</v>
      </c>
      <c r="CL260" s="95">
        <f t="shared" si="362"/>
        <v>5.4666787725195801E-2</v>
      </c>
      <c r="CM260" s="95">
        <f t="shared" si="362"/>
        <v>5.1967159505075432E-2</v>
      </c>
      <c r="CN260" s="95">
        <f t="shared" si="362"/>
        <v>5.1666408679889426E-2</v>
      </c>
      <c r="CO260" s="95">
        <f t="shared" si="362"/>
        <v>5.3355152512383798E-2</v>
      </c>
      <c r="CP260" s="95"/>
      <c r="CQ260" s="95"/>
      <c r="CR260" s="95"/>
      <c r="CS260" s="95"/>
      <c r="CT260" s="95"/>
      <c r="CU260" s="95"/>
      <c r="CV260" s="95"/>
      <c r="CW260" s="95"/>
      <c r="CX260" s="95"/>
      <c r="CY260" s="95"/>
      <c r="CZ260" s="92"/>
      <c r="DA260" s="748"/>
      <c r="DB260" s="750"/>
      <c r="DC260" s="750"/>
      <c r="DD260" s="748"/>
      <c r="DE260" s="717"/>
      <c r="DF260" s="748"/>
      <c r="DG260" s="750"/>
      <c r="DH260" s="750"/>
      <c r="DI260" s="748"/>
      <c r="DJ260" s="748"/>
      <c r="DK260" s="748"/>
      <c r="DL260" s="748"/>
      <c r="DM260" s="748"/>
      <c r="DN260" s="748"/>
      <c r="DU260" s="30"/>
      <c r="DV260" s="30"/>
      <c r="DW260" s="873"/>
      <c r="DX260" s="873"/>
      <c r="DY260" s="873"/>
      <c r="DZ260" s="873"/>
      <c r="EA260" s="873"/>
    </row>
    <row r="261" spans="1:131" hidden="1" outlineLevel="1" x14ac:dyDescent="0.2">
      <c r="A261" s="275" t="s">
        <v>212</v>
      </c>
      <c r="B261" s="275"/>
      <c r="C261" s="276"/>
      <c r="D261" s="276"/>
      <c r="E261" s="276"/>
      <c r="F261" s="276"/>
      <c r="G261" s="276"/>
      <c r="H261" s="276"/>
      <c r="I261" s="95">
        <v>0.06</v>
      </c>
      <c r="J261" s="95">
        <v>0.05</v>
      </c>
      <c r="K261" s="95">
        <v>0.04</v>
      </c>
      <c r="L261" s="95">
        <v>0.02</v>
      </c>
      <c r="M261" s="95">
        <v>0.04</v>
      </c>
      <c r="N261" s="95">
        <v>0.02</v>
      </c>
      <c r="O261" s="95">
        <v>0</v>
      </c>
      <c r="P261" s="95">
        <v>-0.02</v>
      </c>
      <c r="Q261" s="95">
        <v>-0.03</v>
      </c>
      <c r="R261" s="95">
        <v>-9.6748782108585021E-3</v>
      </c>
      <c r="S261" s="95">
        <v>-0.02</v>
      </c>
      <c r="T261" s="95">
        <v>1.489951695224207E-2</v>
      </c>
      <c r="U261" s="95">
        <v>2.9803843473065805E-2</v>
      </c>
      <c r="V261" s="95">
        <v>0.04</v>
      </c>
      <c r="W261" s="95">
        <v>0.01</v>
      </c>
      <c r="X261" s="95">
        <v>3.8091295116772825E-2</v>
      </c>
      <c r="Y261" s="95">
        <v>2.9063017009015712E-2</v>
      </c>
      <c r="Z261" s="95">
        <v>3.6807852965747713E-2</v>
      </c>
      <c r="AA261" s="95">
        <v>2.4093337135253304E-2</v>
      </c>
      <c r="AB261" s="95">
        <v>3.2444353911042952E-2</v>
      </c>
      <c r="AC261" s="95">
        <v>3.0583843763870393E-2</v>
      </c>
      <c r="AD261" s="95">
        <v>7.1330943311673761E-3</v>
      </c>
      <c r="AE261" s="95">
        <v>-6.5872122762148336E-2</v>
      </c>
      <c r="AF261" s="95">
        <v>-9.2031886024423346E-2</v>
      </c>
      <c r="AG261" s="95">
        <v>-3.3705539358600586E-2</v>
      </c>
      <c r="AH261" s="95">
        <v>-9.6975745868212046E-2</v>
      </c>
      <c r="AI261" s="95">
        <v>-5.3819968635650813E-2</v>
      </c>
      <c r="AJ261" s="95">
        <v>1.9333494957331263E-2</v>
      </c>
      <c r="AK261" s="95">
        <v>6.7163719221874571E-2</v>
      </c>
      <c r="AL261" s="95">
        <v>-2.0363391342417776E-2</v>
      </c>
      <c r="AM261" s="95">
        <f t="shared" ref="AM261:BR261" si="363">+AM8</f>
        <v>0</v>
      </c>
      <c r="AN261" s="95">
        <f t="shared" si="363"/>
        <v>0</v>
      </c>
      <c r="AO261" s="95">
        <f t="shared" si="363"/>
        <v>0</v>
      </c>
      <c r="AP261" s="95">
        <f t="shared" si="363"/>
        <v>0</v>
      </c>
      <c r="AQ261" s="95">
        <f t="shared" si="363"/>
        <v>0</v>
      </c>
      <c r="AR261" s="95">
        <f t="shared" si="363"/>
        <v>0</v>
      </c>
      <c r="AS261" s="95">
        <f t="shared" si="363"/>
        <v>0</v>
      </c>
      <c r="AT261" s="95">
        <f t="shared" si="363"/>
        <v>0</v>
      </c>
      <c r="AU261" s="95">
        <f t="shared" si="363"/>
        <v>0</v>
      </c>
      <c r="AV261" s="95">
        <f t="shared" si="363"/>
        <v>0</v>
      </c>
      <c r="AW261" s="95">
        <f t="shared" si="363"/>
        <v>0</v>
      </c>
      <c r="AX261" s="95">
        <f t="shared" si="363"/>
        <v>0</v>
      </c>
      <c r="AY261" s="95">
        <f t="shared" si="363"/>
        <v>0</v>
      </c>
      <c r="AZ261" s="95">
        <f t="shared" si="363"/>
        <v>0</v>
      </c>
      <c r="BA261" s="95">
        <f t="shared" si="363"/>
        <v>0</v>
      </c>
      <c r="BB261" s="95">
        <f t="shared" si="363"/>
        <v>0</v>
      </c>
      <c r="BC261" s="95">
        <f t="shared" si="363"/>
        <v>0</v>
      </c>
      <c r="BD261" s="95">
        <f t="shared" si="363"/>
        <v>0</v>
      </c>
      <c r="BE261" s="95">
        <f t="shared" si="363"/>
        <v>0</v>
      </c>
      <c r="BF261" s="95">
        <f t="shared" si="363"/>
        <v>0</v>
      </c>
      <c r="BG261" s="95">
        <f t="shared" si="363"/>
        <v>0</v>
      </c>
      <c r="BH261" s="95">
        <f t="shared" si="363"/>
        <v>0</v>
      </c>
      <c r="BI261" s="95">
        <f t="shared" si="363"/>
        <v>0</v>
      </c>
      <c r="BJ261" s="95">
        <f t="shared" si="363"/>
        <v>0</v>
      </c>
      <c r="BK261" s="95">
        <f t="shared" si="363"/>
        <v>0</v>
      </c>
      <c r="BL261" s="95">
        <f t="shared" si="363"/>
        <v>0</v>
      </c>
      <c r="BM261" s="95">
        <f t="shared" si="363"/>
        <v>0</v>
      </c>
      <c r="BN261" s="95">
        <f t="shared" si="363"/>
        <v>0</v>
      </c>
      <c r="BO261" s="95">
        <f t="shared" si="363"/>
        <v>0</v>
      </c>
      <c r="BP261" s="95">
        <f t="shared" si="363"/>
        <v>0</v>
      </c>
      <c r="BQ261" s="95">
        <f t="shared" si="363"/>
        <v>0</v>
      </c>
      <c r="BR261" s="95">
        <f t="shared" si="363"/>
        <v>0</v>
      </c>
      <c r="BS261" s="95">
        <f t="shared" ref="BS261:CO261" si="364">+BS8</f>
        <v>0</v>
      </c>
      <c r="BT261" s="95">
        <f t="shared" si="364"/>
        <v>0</v>
      </c>
      <c r="BU261" s="95">
        <f t="shared" si="364"/>
        <v>0</v>
      </c>
      <c r="BV261" s="95">
        <f t="shared" si="364"/>
        <v>0</v>
      </c>
      <c r="BW261" s="95">
        <f t="shared" si="364"/>
        <v>0</v>
      </c>
      <c r="BX261" s="95">
        <f t="shared" si="364"/>
        <v>0</v>
      </c>
      <c r="BY261" s="95">
        <f t="shared" si="364"/>
        <v>0</v>
      </c>
      <c r="BZ261" s="95">
        <f t="shared" si="364"/>
        <v>0</v>
      </c>
      <c r="CA261" s="95">
        <f t="shared" si="364"/>
        <v>0</v>
      </c>
      <c r="CB261" s="95">
        <f t="shared" si="364"/>
        <v>0</v>
      </c>
      <c r="CC261" s="95">
        <f t="shared" si="364"/>
        <v>0</v>
      </c>
      <c r="CD261" s="95">
        <f t="shared" si="364"/>
        <v>0</v>
      </c>
      <c r="CE261" s="95">
        <f t="shared" si="364"/>
        <v>0</v>
      </c>
      <c r="CF261" s="95">
        <f t="shared" si="364"/>
        <v>0</v>
      </c>
      <c r="CG261" s="95">
        <f t="shared" si="364"/>
        <v>0</v>
      </c>
      <c r="CH261" s="95">
        <f t="shared" si="364"/>
        <v>0</v>
      </c>
      <c r="CI261" s="95">
        <f t="shared" si="364"/>
        <v>0</v>
      </c>
      <c r="CJ261" s="95">
        <f t="shared" si="364"/>
        <v>0</v>
      </c>
      <c r="CK261" s="95">
        <f t="shared" si="364"/>
        <v>0</v>
      </c>
      <c r="CL261" s="95">
        <f t="shared" si="364"/>
        <v>0</v>
      </c>
      <c r="CM261" s="95">
        <f t="shared" si="364"/>
        <v>0</v>
      </c>
      <c r="CN261" s="95">
        <f t="shared" si="364"/>
        <v>0</v>
      </c>
      <c r="CO261" s="95">
        <f t="shared" si="364"/>
        <v>0</v>
      </c>
      <c r="CP261" s="95"/>
      <c r="CQ261" s="95"/>
      <c r="CR261" s="95"/>
      <c r="CS261" s="95"/>
      <c r="CT261" s="95"/>
      <c r="CU261" s="95"/>
      <c r="CV261" s="95"/>
      <c r="CW261" s="95"/>
      <c r="CX261" s="95"/>
      <c r="CY261" s="95"/>
      <c r="CZ261" s="92"/>
      <c r="DA261" s="748"/>
      <c r="DB261" s="750"/>
      <c r="DC261" s="750"/>
      <c r="DD261" s="748"/>
      <c r="DE261" s="717"/>
      <c r="DF261" s="748"/>
      <c r="DG261" s="750"/>
      <c r="DH261" s="750"/>
      <c r="DI261" s="748"/>
      <c r="DJ261" s="748"/>
      <c r="DK261" s="748"/>
      <c r="DL261" s="748"/>
      <c r="DM261" s="748"/>
      <c r="DN261" s="748"/>
      <c r="DU261" s="30"/>
      <c r="DV261" s="30"/>
      <c r="DW261" s="873"/>
      <c r="DX261" s="873"/>
      <c r="DY261" s="873"/>
      <c r="DZ261" s="873"/>
      <c r="EA261" s="873"/>
    </row>
    <row r="262" spans="1:131" hidden="1" outlineLevel="1" x14ac:dyDescent="0.2">
      <c r="A262" s="273" t="s">
        <v>213</v>
      </c>
      <c r="B262" s="273"/>
      <c r="C262" s="273"/>
      <c r="D262" s="273"/>
      <c r="E262" s="274"/>
      <c r="F262" s="274"/>
      <c r="G262" s="274"/>
      <c r="H262" s="274"/>
      <c r="I262" s="277">
        <v>0</v>
      </c>
      <c r="J262" s="277">
        <v>0</v>
      </c>
      <c r="K262" s="277">
        <v>0</v>
      </c>
      <c r="L262" s="277">
        <v>0</v>
      </c>
      <c r="M262" s="277">
        <v>0</v>
      </c>
      <c r="N262" s="277">
        <v>0</v>
      </c>
      <c r="O262" s="277">
        <v>0</v>
      </c>
      <c r="P262" s="277">
        <v>0</v>
      </c>
      <c r="Q262" s="277">
        <v>0</v>
      </c>
      <c r="R262" s="277">
        <v>0</v>
      </c>
      <c r="S262" s="277">
        <v>0</v>
      </c>
      <c r="T262" s="277">
        <v>0</v>
      </c>
      <c r="U262" s="277">
        <v>0</v>
      </c>
      <c r="V262" s="277">
        <v>0</v>
      </c>
      <c r="W262" s="277">
        <v>0</v>
      </c>
      <c r="X262" s="277">
        <v>0</v>
      </c>
      <c r="Y262" s="277">
        <v>0</v>
      </c>
      <c r="Z262" s="277">
        <v>0</v>
      </c>
      <c r="AA262" s="277">
        <v>0</v>
      </c>
      <c r="AB262" s="277">
        <v>0</v>
      </c>
      <c r="AC262" s="277">
        <v>0</v>
      </c>
      <c r="AD262" s="277">
        <v>0</v>
      </c>
      <c r="AE262" s="277">
        <v>0</v>
      </c>
      <c r="AF262" s="277">
        <v>0</v>
      </c>
      <c r="AG262" s="277">
        <v>0</v>
      </c>
      <c r="AH262" s="277">
        <v>0</v>
      </c>
      <c r="AI262" s="277">
        <v>0</v>
      </c>
      <c r="AJ262" s="277">
        <v>0</v>
      </c>
      <c r="AK262" s="277">
        <v>0</v>
      </c>
      <c r="AL262" s="277">
        <v>0</v>
      </c>
      <c r="AM262" s="277">
        <v>0</v>
      </c>
      <c r="AN262" s="277">
        <v>0</v>
      </c>
      <c r="AO262" s="277">
        <v>0</v>
      </c>
      <c r="AP262" s="277">
        <v>0</v>
      </c>
      <c r="AQ262" s="277">
        <v>0</v>
      </c>
      <c r="AR262" s="277">
        <v>0</v>
      </c>
      <c r="AS262" s="277">
        <v>0</v>
      </c>
      <c r="AT262" s="277">
        <v>0</v>
      </c>
      <c r="AU262" s="277">
        <v>0</v>
      </c>
      <c r="AV262" s="277">
        <v>0</v>
      </c>
      <c r="AW262" s="277">
        <v>0</v>
      </c>
      <c r="AX262" s="277">
        <v>0</v>
      </c>
      <c r="AY262" s="277">
        <v>0</v>
      </c>
      <c r="AZ262" s="277">
        <v>0</v>
      </c>
      <c r="BA262" s="277">
        <v>0</v>
      </c>
      <c r="BB262" s="277">
        <v>0</v>
      </c>
      <c r="BC262" s="277">
        <v>0</v>
      </c>
      <c r="BD262" s="277">
        <v>0</v>
      </c>
      <c r="BE262" s="277">
        <v>0</v>
      </c>
      <c r="BF262" s="277">
        <v>0</v>
      </c>
      <c r="BG262" s="277">
        <v>0</v>
      </c>
      <c r="BH262" s="277">
        <v>0</v>
      </c>
      <c r="BI262" s="277">
        <v>0</v>
      </c>
      <c r="BJ262" s="277">
        <v>0</v>
      </c>
      <c r="BK262" s="277">
        <v>0</v>
      </c>
      <c r="BL262" s="277">
        <v>0</v>
      </c>
      <c r="BM262" s="277">
        <v>0</v>
      </c>
      <c r="BN262" s="277">
        <v>0</v>
      </c>
      <c r="BO262" s="277">
        <v>0</v>
      </c>
      <c r="BP262" s="277">
        <v>0</v>
      </c>
      <c r="BQ262" s="277">
        <v>0</v>
      </c>
      <c r="BR262" s="277">
        <v>0</v>
      </c>
      <c r="BS262" s="277">
        <v>0</v>
      </c>
      <c r="BT262" s="277">
        <v>0</v>
      </c>
      <c r="BU262" s="277">
        <v>0</v>
      </c>
      <c r="BV262" s="277">
        <v>0</v>
      </c>
      <c r="BW262" s="277">
        <v>0</v>
      </c>
      <c r="BX262" s="277">
        <v>0</v>
      </c>
      <c r="BY262" s="277">
        <v>0</v>
      </c>
      <c r="BZ262" s="277">
        <v>0</v>
      </c>
      <c r="CA262" s="277">
        <v>0</v>
      </c>
      <c r="CB262" s="277">
        <v>0</v>
      </c>
      <c r="CC262" s="277">
        <v>0</v>
      </c>
      <c r="CD262" s="277">
        <v>0</v>
      </c>
      <c r="CE262" s="277">
        <v>0</v>
      </c>
      <c r="CF262" s="277">
        <v>0</v>
      </c>
      <c r="CG262" s="277">
        <v>0</v>
      </c>
      <c r="CH262" s="277">
        <v>0</v>
      </c>
      <c r="CI262" s="277">
        <v>0</v>
      </c>
      <c r="CJ262" s="277">
        <v>0</v>
      </c>
      <c r="CK262" s="277">
        <v>0</v>
      </c>
      <c r="CL262" s="277">
        <v>0</v>
      </c>
      <c r="CM262" s="277">
        <v>0</v>
      </c>
      <c r="CN262" s="277">
        <v>0</v>
      </c>
      <c r="CO262" s="277">
        <v>0</v>
      </c>
      <c r="CP262" s="277"/>
      <c r="CQ262" s="277"/>
      <c r="CR262" s="277"/>
      <c r="CS262" s="277"/>
      <c r="CT262" s="277"/>
      <c r="CU262" s="277"/>
      <c r="CV262" s="277"/>
      <c r="CW262" s="277"/>
      <c r="CX262" s="277"/>
      <c r="CY262" s="277"/>
      <c r="CZ262" s="278"/>
      <c r="DA262" s="762"/>
      <c r="DB262" s="762"/>
      <c r="DC262" s="762"/>
      <c r="DD262" s="762"/>
      <c r="DE262" s="728"/>
      <c r="DF262" s="762"/>
      <c r="DG262" s="762"/>
      <c r="DH262" s="762"/>
      <c r="DI262" s="762"/>
      <c r="DJ262" s="762"/>
      <c r="DK262" s="762"/>
      <c r="DL262" s="762"/>
      <c r="DM262" s="762"/>
      <c r="DN262" s="762"/>
      <c r="DU262" s="279"/>
      <c r="DV262" s="279"/>
      <c r="DW262" s="873"/>
      <c r="DX262" s="873"/>
      <c r="DY262" s="873"/>
      <c r="DZ262" s="873"/>
      <c r="EA262" s="873"/>
    </row>
    <row r="263" spans="1:131" hidden="1" outlineLevel="1" x14ac:dyDescent="0.2">
      <c r="A263" s="273" t="s">
        <v>214</v>
      </c>
      <c r="B263" s="273"/>
      <c r="C263" s="274"/>
      <c r="D263" s="274"/>
      <c r="E263" s="274"/>
      <c r="F263" s="274"/>
      <c r="G263" s="274"/>
      <c r="H263" s="274"/>
      <c r="I263" s="274" t="s">
        <v>215</v>
      </c>
      <c r="J263" s="274" t="s">
        <v>215</v>
      </c>
      <c r="K263" s="274" t="s">
        <v>215</v>
      </c>
      <c r="L263" s="274" t="s">
        <v>215</v>
      </c>
      <c r="M263" s="274" t="s">
        <v>215</v>
      </c>
      <c r="N263" s="274">
        <v>399.1</v>
      </c>
      <c r="O263" s="274">
        <v>460.4</v>
      </c>
      <c r="P263" s="274">
        <v>544.29999999999995</v>
      </c>
      <c r="Q263" s="274">
        <v>465.1</v>
      </c>
      <c r="R263" s="274">
        <v>1868.9</v>
      </c>
      <c r="S263" s="274">
        <v>437.1</v>
      </c>
      <c r="T263" s="274">
        <v>596.5</v>
      </c>
      <c r="U263" s="274">
        <v>686.8</v>
      </c>
      <c r="V263" s="274">
        <v>582.9</v>
      </c>
      <c r="W263" s="274">
        <v>2303.3000000000002</v>
      </c>
      <c r="X263" s="274">
        <v>506.2</v>
      </c>
      <c r="Y263" s="274">
        <v>604</v>
      </c>
      <c r="Z263" s="274">
        <v>766.9</v>
      </c>
      <c r="AA263" s="274">
        <v>611.1</v>
      </c>
      <c r="AB263" s="274">
        <v>2488.1999999999998</v>
      </c>
      <c r="AC263" s="274">
        <v>652.50000000000011</v>
      </c>
      <c r="AD263" s="274">
        <v>666.1</v>
      </c>
      <c r="AE263" s="274">
        <v>780</v>
      </c>
      <c r="AF263" s="274">
        <v>553.20000000000005</v>
      </c>
      <c r="AG263" s="274">
        <v>2651.7999999999997</v>
      </c>
      <c r="AH263" s="274">
        <v>572.20000000000005</v>
      </c>
      <c r="AI263" s="274">
        <v>622.70000000000005</v>
      </c>
      <c r="AJ263" s="274">
        <v>707.9</v>
      </c>
      <c r="AK263" s="274">
        <v>479.90000000000003</v>
      </c>
      <c r="AL263" s="274">
        <v>2382.7000000000003</v>
      </c>
      <c r="AM263" s="274">
        <v>589.90000000000009</v>
      </c>
      <c r="AN263" s="274">
        <v>655.6</v>
      </c>
      <c r="AO263" s="274">
        <v>731.69999999999993</v>
      </c>
      <c r="AP263" s="274">
        <v>580.1</v>
      </c>
      <c r="AQ263" s="274">
        <v>2557.3000000000002</v>
      </c>
      <c r="AR263" s="274">
        <v>635.29999999999995</v>
      </c>
      <c r="AS263" s="274">
        <v>666.34852035895108</v>
      </c>
      <c r="AT263" s="274">
        <v>790.31335154363751</v>
      </c>
      <c r="AU263" s="274">
        <v>580.20447153104442</v>
      </c>
      <c r="AV263" s="274">
        <v>2672.1663434336328</v>
      </c>
      <c r="AW263" s="274">
        <v>659.36295519632176</v>
      </c>
      <c r="AX263" s="274">
        <v>691.77309331445178</v>
      </c>
      <c r="AY263" s="274">
        <v>819.47011884766482</v>
      </c>
      <c r="AZ263" s="274">
        <v>601.84901001444712</v>
      </c>
      <c r="BA263" s="274">
        <v>2772.4551773728858</v>
      </c>
      <c r="BB263" s="274">
        <v>680.31085553332707</v>
      </c>
      <c r="BC263" s="274">
        <v>713.89050611388529</v>
      </c>
      <c r="BD263" s="274">
        <v>845.32266081309479</v>
      </c>
      <c r="BE263" s="274">
        <v>621.03858023376506</v>
      </c>
      <c r="BF263" s="274">
        <v>2860.5626026940727</v>
      </c>
      <c r="BG263" s="274">
        <v>701.63920289820544</v>
      </c>
      <c r="BH263" s="274">
        <v>736.38154454730193</v>
      </c>
      <c r="BI263" s="274">
        <v>871.68123587748755</v>
      </c>
      <c r="BJ263" s="274">
        <v>640.56284132689984</v>
      </c>
      <c r="BK263" s="274">
        <v>2950.2648246498948</v>
      </c>
      <c r="BL263" s="274">
        <v>723.64875666047976</v>
      </c>
      <c r="BM263" s="274">
        <v>759.59565867997094</v>
      </c>
      <c r="BN263" s="274">
        <v>898.8755184796122</v>
      </c>
      <c r="BO263" s="274">
        <v>660.71301991870348</v>
      </c>
      <c r="BP263" s="274">
        <v>3042.8329537387667</v>
      </c>
      <c r="BQ263" s="274">
        <v>746.36181403101193</v>
      </c>
      <c r="BR263" s="274">
        <v>783.55671628745131</v>
      </c>
      <c r="BS263" s="274">
        <v>926.93260260846159</v>
      </c>
      <c r="BT263" s="274">
        <v>681.50970206910165</v>
      </c>
      <c r="BU263" s="274">
        <v>3138.3608349960264</v>
      </c>
      <c r="BV263" s="274">
        <v>769.80142488284241</v>
      </c>
      <c r="BW263" s="274">
        <v>808.28939907627478</v>
      </c>
      <c r="BX263" s="274">
        <v>955.88048609702719</v>
      </c>
      <c r="BY263" s="274">
        <v>702.97417280388925</v>
      </c>
      <c r="BZ263" s="274">
        <v>3236.9454828600337</v>
      </c>
      <c r="CA263" s="274">
        <v>793.9914180996185</v>
      </c>
      <c r="CB263" s="274">
        <v>833.81923150727198</v>
      </c>
      <c r="CC263" s="274">
        <v>985.74810183371369</v>
      </c>
      <c r="CD263" s="274">
        <v>725.12844074599275</v>
      </c>
      <c r="CE263" s="274">
        <v>3338.6871921865968</v>
      </c>
      <c r="CF263" s="274">
        <v>818.95642888406076</v>
      </c>
      <c r="CG263" s="274">
        <v>860.17261068184098</v>
      </c>
      <c r="CH263" s="274">
        <v>1016.5653500944209</v>
      </c>
      <c r="CI263" s="274">
        <v>747.99526365046836</v>
      </c>
      <c r="CJ263" s="274">
        <v>3443.6896533107911</v>
      </c>
      <c r="CK263" s="274">
        <v>844.72192706290184</v>
      </c>
      <c r="CL263" s="274">
        <v>887.37683733196786</v>
      </c>
      <c r="CM263" s="274">
        <v>1048.3631320372056</v>
      </c>
      <c r="CN263" s="274">
        <v>771.59817487777309</v>
      </c>
      <c r="CO263" s="274">
        <v>3552.0600713098479</v>
      </c>
      <c r="CP263" s="274"/>
      <c r="CQ263" s="274"/>
      <c r="CR263" s="274"/>
      <c r="CS263" s="274"/>
      <c r="CT263" s="274"/>
      <c r="CU263" s="274"/>
      <c r="CV263" s="274"/>
      <c r="CW263" s="274"/>
      <c r="CX263" s="274"/>
      <c r="CY263" s="274"/>
      <c r="CZ263" s="276"/>
      <c r="DA263" s="762"/>
      <c r="DB263" s="763"/>
      <c r="DC263" s="763"/>
      <c r="DD263" s="762"/>
      <c r="DE263" s="728"/>
      <c r="DF263" s="762"/>
      <c r="DG263" s="763"/>
      <c r="DH263" s="763"/>
      <c r="DI263" s="762"/>
      <c r="DJ263" s="762"/>
      <c r="DK263" s="762"/>
      <c r="DL263" s="762"/>
      <c r="DM263" s="762"/>
      <c r="DN263" s="762"/>
      <c r="DU263" s="279"/>
      <c r="DV263" s="279"/>
      <c r="DW263" s="873"/>
      <c r="DX263" s="873"/>
      <c r="DY263" s="873"/>
      <c r="DZ263" s="873"/>
      <c r="EA263" s="873"/>
    </row>
    <row r="264" spans="1:131" hidden="1" outlineLevel="1" x14ac:dyDescent="0.2">
      <c r="A264" s="273" t="s">
        <v>216</v>
      </c>
      <c r="B264" s="273"/>
      <c r="C264" s="274"/>
      <c r="D264" s="274"/>
      <c r="E264" s="274"/>
      <c r="F264" s="274"/>
      <c r="G264" s="274"/>
      <c r="H264" s="274"/>
      <c r="I264" s="274" t="s">
        <v>215</v>
      </c>
      <c r="J264" s="274" t="s">
        <v>215</v>
      </c>
      <c r="K264" s="274" t="s">
        <v>215</v>
      </c>
      <c r="L264" s="274" t="s">
        <v>215</v>
      </c>
      <c r="M264" s="274" t="s">
        <v>215</v>
      </c>
      <c r="N264" s="274">
        <v>351.2</v>
      </c>
      <c r="O264" s="274">
        <v>341.1</v>
      </c>
      <c r="P264" s="274">
        <v>370.79999999999995</v>
      </c>
      <c r="Q264" s="274">
        <v>308.89999999999998</v>
      </c>
      <c r="R264" s="274">
        <v>1372</v>
      </c>
      <c r="S264" s="274">
        <v>329.4</v>
      </c>
      <c r="T264" s="274">
        <v>390.4</v>
      </c>
      <c r="U264" s="274">
        <v>413.2</v>
      </c>
      <c r="V264" s="274">
        <v>385.8</v>
      </c>
      <c r="W264" s="274">
        <v>1518.8</v>
      </c>
      <c r="X264" s="274">
        <v>302.2</v>
      </c>
      <c r="Y264" s="274">
        <v>194.4</v>
      </c>
      <c r="Z264" s="274">
        <v>215.6</v>
      </c>
      <c r="AA264" s="274">
        <v>173.7</v>
      </c>
      <c r="AB264" s="274">
        <v>885.9</v>
      </c>
      <c r="AC264" s="274">
        <v>182.1</v>
      </c>
      <c r="AD264" s="274">
        <v>191.1</v>
      </c>
      <c r="AE264" s="274">
        <v>163.30000000000001</v>
      </c>
      <c r="AF264" s="274">
        <v>111.9</v>
      </c>
      <c r="AG264" s="274">
        <v>648.4</v>
      </c>
      <c r="AH264" s="274">
        <v>144.5</v>
      </c>
      <c r="AI264" s="274">
        <v>164</v>
      </c>
      <c r="AJ264" s="274">
        <v>177.1</v>
      </c>
      <c r="AK264" s="274">
        <v>136.4</v>
      </c>
      <c r="AL264" s="274">
        <v>622</v>
      </c>
      <c r="AM264" s="274">
        <v>118.55999999999999</v>
      </c>
      <c r="AN264" s="274">
        <v>124.32</v>
      </c>
      <c r="AO264" s="274">
        <v>140.82</v>
      </c>
      <c r="AP264" s="274">
        <v>81.11999999999999</v>
      </c>
      <c r="AQ264" s="274">
        <v>464.82</v>
      </c>
      <c r="AR264" s="274">
        <v>0</v>
      </c>
      <c r="AS264" s="274">
        <v>0</v>
      </c>
      <c r="AT264" s="274">
        <v>0</v>
      </c>
      <c r="AU264" s="274">
        <v>0</v>
      </c>
      <c r="AV264" s="274">
        <v>0</v>
      </c>
      <c r="AW264" s="274">
        <v>0</v>
      </c>
      <c r="AX264" s="274">
        <v>0</v>
      </c>
      <c r="AY264" s="274">
        <v>0</v>
      </c>
      <c r="AZ264" s="274">
        <v>0</v>
      </c>
      <c r="BA264" s="274">
        <v>0</v>
      </c>
      <c r="BB264" s="274">
        <v>0</v>
      </c>
      <c r="BC264" s="274">
        <v>0</v>
      </c>
      <c r="BD264" s="274">
        <v>0</v>
      </c>
      <c r="BE264" s="274">
        <v>0</v>
      </c>
      <c r="BF264" s="274">
        <v>0</v>
      </c>
      <c r="BG264" s="274">
        <v>0</v>
      </c>
      <c r="BH264" s="274">
        <v>0</v>
      </c>
      <c r="BI264" s="274">
        <v>0</v>
      </c>
      <c r="BJ264" s="274">
        <v>0</v>
      </c>
      <c r="BK264" s="274">
        <v>0</v>
      </c>
      <c r="BL264" s="274">
        <v>0</v>
      </c>
      <c r="BM264" s="274">
        <v>0</v>
      </c>
      <c r="BN264" s="274">
        <v>0</v>
      </c>
      <c r="BO264" s="274">
        <v>0</v>
      </c>
      <c r="BP264" s="274">
        <v>0</v>
      </c>
      <c r="BQ264" s="274">
        <v>0</v>
      </c>
      <c r="BR264" s="274">
        <v>0</v>
      </c>
      <c r="BS264" s="274">
        <v>0</v>
      </c>
      <c r="BT264" s="274">
        <v>0</v>
      </c>
      <c r="BU264" s="274">
        <v>0</v>
      </c>
      <c r="BV264" s="274">
        <v>0</v>
      </c>
      <c r="BW264" s="274">
        <v>0</v>
      </c>
      <c r="BX264" s="274">
        <v>0</v>
      </c>
      <c r="BY264" s="274">
        <v>0</v>
      </c>
      <c r="BZ264" s="274">
        <v>0</v>
      </c>
      <c r="CA264" s="274">
        <v>0</v>
      </c>
      <c r="CB264" s="274">
        <v>0</v>
      </c>
      <c r="CC264" s="274">
        <v>0</v>
      </c>
      <c r="CD264" s="274">
        <v>0</v>
      </c>
      <c r="CE264" s="274">
        <v>0</v>
      </c>
      <c r="CF264" s="274">
        <v>0</v>
      </c>
      <c r="CG264" s="274">
        <v>0</v>
      </c>
      <c r="CH264" s="274">
        <v>0</v>
      </c>
      <c r="CI264" s="274">
        <v>0</v>
      </c>
      <c r="CJ264" s="274">
        <v>0</v>
      </c>
      <c r="CK264" s="274">
        <v>0</v>
      </c>
      <c r="CL264" s="274">
        <v>0</v>
      </c>
      <c r="CM264" s="274">
        <v>0</v>
      </c>
      <c r="CN264" s="274">
        <v>0</v>
      </c>
      <c r="CO264" s="274">
        <v>0</v>
      </c>
      <c r="CP264" s="274"/>
      <c r="CQ264" s="274"/>
      <c r="CR264" s="274"/>
      <c r="CS264" s="274"/>
      <c r="CT264" s="274"/>
      <c r="CU264" s="274"/>
      <c r="CV264" s="274"/>
      <c r="CW264" s="274"/>
      <c r="CX264" s="274"/>
      <c r="CY264" s="274"/>
      <c r="CZ264" s="276"/>
      <c r="DA264" s="762"/>
      <c r="DB264" s="763"/>
      <c r="DC264" s="763"/>
      <c r="DD264" s="762"/>
      <c r="DE264" s="728"/>
      <c r="DF264" s="762"/>
      <c r="DG264" s="763"/>
      <c r="DH264" s="763"/>
      <c r="DI264" s="762"/>
      <c r="DJ264" s="762"/>
      <c r="DK264" s="762"/>
      <c r="DL264" s="762"/>
      <c r="DM264" s="762"/>
      <c r="DN264" s="762"/>
      <c r="DU264" s="279"/>
      <c r="DV264" s="279"/>
      <c r="DW264" s="873"/>
      <c r="DX264" s="873"/>
      <c r="DY264" s="873"/>
      <c r="DZ264" s="873"/>
      <c r="EA264" s="873"/>
    </row>
    <row r="265" spans="1:131" hidden="1" outlineLevel="1" x14ac:dyDescent="0.2">
      <c r="A265" s="273" t="s">
        <v>217</v>
      </c>
      <c r="B265" s="273"/>
      <c r="C265" s="274"/>
      <c r="D265" s="274"/>
      <c r="E265" s="274"/>
      <c r="F265" s="274"/>
      <c r="G265" s="274"/>
      <c r="H265" s="274"/>
      <c r="I265" s="274">
        <f t="shared" ref="I265:AN265" si="365">+I148+I150</f>
        <v>0.44500000000000001</v>
      </c>
      <c r="J265" s="274">
        <f t="shared" si="365"/>
        <v>0.57899999999999996</v>
      </c>
      <c r="K265" s="274">
        <f t="shared" si="365"/>
        <v>-8.6979999999999986</v>
      </c>
      <c r="L265" s="274">
        <f t="shared" si="365"/>
        <v>-1021.2260000000001</v>
      </c>
      <c r="M265" s="274">
        <f t="shared" si="365"/>
        <v>-1028.9000000000001</v>
      </c>
      <c r="N265" s="274">
        <f t="shared" si="365"/>
        <v>110.637</v>
      </c>
      <c r="O265" s="274">
        <f t="shared" si="365"/>
        <v>19.163000000000011</v>
      </c>
      <c r="P265" s="274">
        <f t="shared" si="365"/>
        <v>-38.700000000000003</v>
      </c>
      <c r="Q265" s="274">
        <f t="shared" si="365"/>
        <v>36.499999999999993</v>
      </c>
      <c r="R265" s="274">
        <f t="shared" si="365"/>
        <v>127.6</v>
      </c>
      <c r="S265" s="274">
        <f t="shared" si="365"/>
        <v>28.7</v>
      </c>
      <c r="T265" s="274">
        <f t="shared" si="365"/>
        <v>-1090.8999999999999</v>
      </c>
      <c r="U265" s="274">
        <f t="shared" si="365"/>
        <v>5.699999999999914</v>
      </c>
      <c r="V265" s="274">
        <f t="shared" si="365"/>
        <v>1</v>
      </c>
      <c r="W265" s="274">
        <f t="shared" si="365"/>
        <v>-1055.5</v>
      </c>
      <c r="X265" s="274">
        <f t="shared" si="365"/>
        <v>-380.7</v>
      </c>
      <c r="Y265" s="274">
        <f t="shared" si="365"/>
        <v>-0.30000000000001137</v>
      </c>
      <c r="Z265" s="274">
        <f t="shared" si="365"/>
        <v>3.0000000000000222</v>
      </c>
      <c r="AA265" s="274">
        <f t="shared" si="365"/>
        <v>-768.10000000000014</v>
      </c>
      <c r="AB265" s="274">
        <f t="shared" si="365"/>
        <v>-1146.0999999999999</v>
      </c>
      <c r="AC265" s="274">
        <f t="shared" si="365"/>
        <v>-1.3</v>
      </c>
      <c r="AD265" s="274">
        <f t="shared" si="365"/>
        <v>222.09999999999997</v>
      </c>
      <c r="AE265" s="274">
        <f t="shared" si="365"/>
        <v>2.5000000000000058</v>
      </c>
      <c r="AF265" s="274">
        <f t="shared" si="365"/>
        <v>6.4</v>
      </c>
      <c r="AG265" s="274">
        <f t="shared" si="365"/>
        <v>229.7</v>
      </c>
      <c r="AH265" s="274">
        <f t="shared" si="365"/>
        <v>271.39999999999998</v>
      </c>
      <c r="AI265" s="274">
        <f t="shared" si="365"/>
        <v>19.5</v>
      </c>
      <c r="AJ265" s="274">
        <f t="shared" si="365"/>
        <v>2</v>
      </c>
      <c r="AK265" s="274">
        <f t="shared" si="365"/>
        <v>73.900000000000034</v>
      </c>
      <c r="AL265" s="274">
        <f t="shared" si="365"/>
        <v>366.8</v>
      </c>
      <c r="AM265" s="274">
        <f t="shared" si="365"/>
        <v>-0.5</v>
      </c>
      <c r="AN265" s="274">
        <f t="shared" si="365"/>
        <v>2</v>
      </c>
      <c r="AO265" s="274">
        <f t="shared" ref="AO265:BT265" si="366">+AO148+AO150</f>
        <v>-17</v>
      </c>
      <c r="AP265" s="274">
        <f ca="1">+AP148+AP150</f>
        <v>254.7</v>
      </c>
      <c r="AQ265" s="274">
        <f ca="1">+AQ148+AQ150</f>
        <v>239.2</v>
      </c>
      <c r="AR265" s="274">
        <f t="shared" si="366"/>
        <v>-7.4</v>
      </c>
      <c r="AS265" s="274">
        <f t="shared" si="366"/>
        <v>-21.1</v>
      </c>
      <c r="AT265" s="274">
        <f t="shared" si="366"/>
        <v>-49.9</v>
      </c>
      <c r="AU265" s="274">
        <f t="shared" si="366"/>
        <v>-0.29999999999999893</v>
      </c>
      <c r="AV265" s="274">
        <f t="shared" si="366"/>
        <v>-78.7</v>
      </c>
      <c r="AW265" s="274">
        <f t="shared" si="366"/>
        <v>7.7</v>
      </c>
      <c r="AX265" s="274">
        <f t="shared" si="366"/>
        <v>-159.79999999999998</v>
      </c>
      <c r="AY265" s="274">
        <f t="shared" si="366"/>
        <v>0.29999999999997673</v>
      </c>
      <c r="AZ265" s="274">
        <f t="shared" si="366"/>
        <v>1.9000000000000004</v>
      </c>
      <c r="BA265" s="274">
        <f t="shared" si="366"/>
        <v>-149.9</v>
      </c>
      <c r="BB265" s="274">
        <f t="shared" si="366"/>
        <v>1.2</v>
      </c>
      <c r="BC265" s="274">
        <f t="shared" si="366"/>
        <v>-4672.5</v>
      </c>
      <c r="BD265" s="274">
        <f t="shared" si="366"/>
        <v>-1.9000000000003645</v>
      </c>
      <c r="BE265" s="274">
        <f t="shared" si="366"/>
        <v>23.09999999999982</v>
      </c>
      <c r="BF265" s="274">
        <f t="shared" si="366"/>
        <v>-4650.1000000000004</v>
      </c>
      <c r="BG265" s="274">
        <f t="shared" si="366"/>
        <v>0</v>
      </c>
      <c r="BH265" s="274">
        <f t="shared" si="366"/>
        <v>0</v>
      </c>
      <c r="BI265" s="274">
        <f t="shared" si="366"/>
        <v>-21.4</v>
      </c>
      <c r="BJ265" s="274">
        <f ca="1">+BJ148+BJ150</f>
        <v>-288.90000000000003</v>
      </c>
      <c r="BK265" s="274">
        <f ca="1">+BK148+BK150</f>
        <v>-310.3</v>
      </c>
      <c r="BL265" s="274">
        <f t="shared" si="366"/>
        <v>0</v>
      </c>
      <c r="BM265" s="274">
        <f t="shared" si="366"/>
        <v>-317.89999999999998</v>
      </c>
      <c r="BN265" s="274">
        <f t="shared" si="366"/>
        <v>0</v>
      </c>
      <c r="BO265" s="274">
        <f t="shared" si="366"/>
        <v>-998.50000000000011</v>
      </c>
      <c r="BP265" s="274">
        <f t="shared" si="366"/>
        <v>-1316.4</v>
      </c>
      <c r="BQ265" s="274">
        <f t="shared" si="366"/>
        <v>-284.89999999999998</v>
      </c>
      <c r="BR265" s="274">
        <f t="shared" si="366"/>
        <v>0</v>
      </c>
      <c r="BS265" s="274">
        <f t="shared" si="366"/>
        <v>-257.30000000000007</v>
      </c>
      <c r="BT265" s="274">
        <f t="shared" si="366"/>
        <v>6.5</v>
      </c>
      <c r="BU265" s="274">
        <f t="shared" ref="BU265:CO265" si="367">+BU148+BU150</f>
        <v>-535.70000000000005</v>
      </c>
      <c r="BV265" s="274">
        <f t="shared" si="367"/>
        <v>0</v>
      </c>
      <c r="BW265" s="274">
        <f t="shared" si="367"/>
        <v>-131.80000000000001</v>
      </c>
      <c r="BX265" s="274">
        <f t="shared" si="367"/>
        <v>-9.9999999999994316E-2</v>
      </c>
      <c r="BY265" s="274">
        <f t="shared" ca="1" si="367"/>
        <v>-18.199999999999989</v>
      </c>
      <c r="BZ265" s="274">
        <f t="shared" ca="1" si="367"/>
        <v>-150.1</v>
      </c>
      <c r="CA265" s="274">
        <f t="shared" si="367"/>
        <v>0</v>
      </c>
      <c r="CB265" s="274">
        <f t="shared" si="367"/>
        <v>0</v>
      </c>
      <c r="CC265" s="274">
        <f t="shared" si="367"/>
        <v>0</v>
      </c>
      <c r="CD265" s="274">
        <f t="shared" si="367"/>
        <v>0</v>
      </c>
      <c r="CE265" s="274">
        <f t="shared" si="367"/>
        <v>0</v>
      </c>
      <c r="CF265" s="274">
        <f t="shared" si="367"/>
        <v>0</v>
      </c>
      <c r="CG265" s="274">
        <f t="shared" si="367"/>
        <v>0</v>
      </c>
      <c r="CH265" s="274">
        <f t="shared" si="367"/>
        <v>0</v>
      </c>
      <c r="CI265" s="274">
        <f t="shared" si="367"/>
        <v>0</v>
      </c>
      <c r="CJ265" s="274">
        <f t="shared" si="367"/>
        <v>0</v>
      </c>
      <c r="CK265" s="274">
        <f t="shared" si="367"/>
        <v>0</v>
      </c>
      <c r="CL265" s="274">
        <f t="shared" si="367"/>
        <v>0</v>
      </c>
      <c r="CM265" s="274">
        <f t="shared" si="367"/>
        <v>0</v>
      </c>
      <c r="CN265" s="274">
        <f t="shared" si="367"/>
        <v>0</v>
      </c>
      <c r="CO265" s="274">
        <f t="shared" si="367"/>
        <v>0</v>
      </c>
      <c r="CP265" s="274"/>
      <c r="CQ265" s="274"/>
      <c r="CR265" s="274"/>
      <c r="CS265" s="274"/>
      <c r="CT265" s="274"/>
      <c r="CU265" s="274"/>
      <c r="CV265" s="274"/>
      <c r="CW265" s="274"/>
      <c r="CX265" s="274"/>
      <c r="CY265" s="274"/>
      <c r="CZ265" s="276"/>
      <c r="DA265" s="763"/>
      <c r="DB265" s="763"/>
      <c r="DC265" s="763"/>
      <c r="DD265" s="763"/>
      <c r="DE265" s="764"/>
      <c r="DF265" s="763"/>
      <c r="DG265" s="763"/>
      <c r="DH265" s="763"/>
      <c r="DI265" s="763"/>
      <c r="DJ265" s="763"/>
      <c r="DK265" s="763"/>
      <c r="DL265" s="763"/>
      <c r="DM265" s="763"/>
      <c r="DN265" s="763"/>
      <c r="DU265" s="276"/>
      <c r="DV265" s="276"/>
      <c r="DW265" s="873"/>
      <c r="DX265" s="873"/>
      <c r="DY265" s="873"/>
      <c r="DZ265" s="873"/>
      <c r="EA265" s="873"/>
    </row>
    <row r="266" spans="1:131" hidden="1" outlineLevel="1" x14ac:dyDescent="0.2"/>
    <row r="267" spans="1:131" hidden="1" outlineLevel="1" x14ac:dyDescent="0.2"/>
    <row r="268" spans="1:131" hidden="1" outlineLevel="1" x14ac:dyDescent="0.2">
      <c r="A268" s="273" t="s">
        <v>247</v>
      </c>
      <c r="W268" s="274">
        <f>+SUM('Financial Statements'!W140:W144)+'Financial Statements'!W135+'Financial Statements'!W136+'Financial Statements'!W138</f>
        <v>-188.39999999999964</v>
      </c>
      <c r="X268" s="274">
        <f>+SUM('Financial Statements'!X140:X144)+'Financial Statements'!X135+'Financial Statements'!X136+'Financial Statements'!X138</f>
        <v>-126.70000000000007</v>
      </c>
      <c r="Y268" s="274">
        <f>+SUM('Financial Statements'!Y140:Y144)+'Financial Statements'!Y135+'Financial Statements'!Y136+'Financial Statements'!Y138</f>
        <v>99.39999999999992</v>
      </c>
      <c r="Z268" s="274">
        <f>+SUM('Financial Statements'!Z140:Z144)+'Financial Statements'!Z135+'Financial Statements'!Z136+'Financial Statements'!Z138</f>
        <v>-95.599999999999923</v>
      </c>
      <c r="AA268" s="274">
        <f>+SUM('Financial Statements'!AA140:AA144)+'Financial Statements'!AA135+'Financial Statements'!AA136+'Financial Statements'!AA138</f>
        <v>135.10000000000008</v>
      </c>
      <c r="AB268" s="274">
        <f>+SUM('Financial Statements'!AB140:AB144)+'Financial Statements'!AB135+'Financial Statements'!AB136+'Financial Statements'!AB138</f>
        <v>12.200000000000131</v>
      </c>
      <c r="AC268" s="274">
        <f>+SUM('Financial Statements'!AC140:AC144)+'Financial Statements'!AC135+'Financial Statements'!AC136+'Financial Statements'!AC138</f>
        <v>-127.5000000000001</v>
      </c>
      <c r="AD268" s="274">
        <f>+SUM('Financial Statements'!AD140:AD144)+'Financial Statements'!AD135+'Financial Statements'!AD136+'Financial Statements'!AD138</f>
        <v>43.399999999999977</v>
      </c>
      <c r="AE268" s="274">
        <f>+SUM('Financial Statements'!AE140:AE144)+'Financial Statements'!AE135+'Financial Statements'!AE136+'Financial Statements'!AE138</f>
        <v>-17.400000000000063</v>
      </c>
      <c r="AF268" s="274">
        <f>+SUM('Financial Statements'!AF140:AF144)+'Financial Statements'!AF135+'Financial Statements'!AF136+'Financial Statements'!AF138</f>
        <v>9.8000000000000398</v>
      </c>
      <c r="AG268" s="274">
        <f>+SUM('Financial Statements'!AG140:AG144)+'Financial Statements'!AG135+'Financial Statements'!AG136+'Financial Statements'!AG138</f>
        <v>-91.69999999999979</v>
      </c>
      <c r="AH268" s="274">
        <f>+SUM('Financial Statements'!AH140:AH144)+'Financial Statements'!AH135+'Financial Statements'!AH136+'Financial Statements'!AH138</f>
        <v>-141.10000000000002</v>
      </c>
      <c r="AI268" s="274">
        <f>+SUM('Financial Statements'!AI140:AI144)+'Financial Statements'!AI135+'Financial Statements'!AI136+'Financial Statements'!AI138</f>
        <v>-25.000000000000075</v>
      </c>
      <c r="AJ268" s="274">
        <f>+SUM('Financial Statements'!AJ140:AJ144)+'Financial Statements'!AJ135+'Financial Statements'!AJ136+'Financial Statements'!AJ138</f>
        <v>-105.69999999999996</v>
      </c>
      <c r="AK268" s="274">
        <f>+SUM('Financial Statements'!AK140:AK144)+'Financial Statements'!AK135+'Financial Statements'!AK136+'Financial Statements'!AK138</f>
        <v>183.584</v>
      </c>
      <c r="AL268" s="274">
        <f>+SUM('Financial Statements'!AL140:AL144)+'Financial Statements'!AL135+'Financial Statements'!AL136+'Financial Statements'!AL138</f>
        <v>-88.215999999999951</v>
      </c>
      <c r="AM268" s="274">
        <f>+SUM('Financial Statements'!AM140:AM144)+'Financial Statements'!AM135+'Financial Statements'!AM136+'Financial Statements'!AM138</f>
        <v>-80.933199999999999</v>
      </c>
      <c r="AN268" s="274">
        <f>+SUM('Financial Statements'!AN140:AN144)+'Financial Statements'!AN135+'Financial Statements'!AN136+'Financial Statements'!AN138</f>
        <v>89.800000000000026</v>
      </c>
      <c r="AO268" s="274">
        <f>+SUM('Financial Statements'!AO140:AO144)+'Financial Statements'!AO135+'Financial Statements'!AO136+'Financial Statements'!AO138</f>
        <v>-75.900000000000006</v>
      </c>
      <c r="AP268" s="274">
        <f>+SUM('Financial Statements'!AP140:AP144)+'Financial Statements'!AP135+'Financial Statements'!AP136+'Financial Statements'!AP138</f>
        <v>168.29999999999993</v>
      </c>
      <c r="AQ268" s="274">
        <f>+SUM('Financial Statements'!AQ140:AQ144)+'Financial Statements'!AQ138</f>
        <v>-15.633199999999903</v>
      </c>
      <c r="AR268" s="274">
        <f>+SUM('Financial Statements'!AR140:AR144)+'Financial Statements'!AR138</f>
        <v>108.20000000000005</v>
      </c>
      <c r="AS268" s="274">
        <f>+SUM('Financial Statements'!AS140:AS144)+'Financial Statements'!AS138</f>
        <v>49.099999999999937</v>
      </c>
      <c r="AT268" s="274">
        <f>+SUM('Financial Statements'!AT140:AT144)+'Financial Statements'!AT138</f>
        <v>-48.200000000000031</v>
      </c>
      <c r="AU268" s="274">
        <f>+SUM('Financial Statements'!AU140:AU144)+'Financial Statements'!AU138</f>
        <v>-21.300000000000011</v>
      </c>
      <c r="AV268" s="274">
        <f>+SUM('Financial Statements'!AV140:AV144)+'Financial Statements'!AV138</f>
        <v>87.799999999999784</v>
      </c>
      <c r="AW268" s="274">
        <f>+SUM('Financial Statements'!AW140:AW144)+'Financial Statements'!AW138</f>
        <v>-4.9999999999999503</v>
      </c>
      <c r="AX268" s="274">
        <f>+SUM('Financial Statements'!AX140:AX144)+'Financial Statements'!AX138</f>
        <v>61.399999999999977</v>
      </c>
      <c r="AY268" s="274">
        <f>+SUM('Financial Statements'!AY140:AY144)+'Financial Statements'!AY138</f>
        <v>-176.79999999999998</v>
      </c>
      <c r="AZ268" s="274">
        <f>+SUM('Financial Statements'!AZ140:AZ144)+'Financial Statements'!AZ138</f>
        <v>64.999999999999986</v>
      </c>
      <c r="BA268" s="274">
        <f>+SUM('Financial Statements'!BA140:BA144)+'Financial Statements'!BA138</f>
        <v>-55.400000000000006</v>
      </c>
      <c r="BB268" s="274">
        <f>+SUM('Financial Statements'!BB140:BB144)+'Financial Statements'!BB138</f>
        <v>-99.19999999999996</v>
      </c>
      <c r="BC268" s="274">
        <f>+SUM('Financial Statements'!BC140:BC144)+'Financial Statements'!BC138</f>
        <v>253.50000000000003</v>
      </c>
      <c r="BD268" s="274">
        <f>+SUM('Financial Statements'!BD140:BD144)+'Financial Statements'!BD138</f>
        <v>-113.59999999999998</v>
      </c>
      <c r="BE268" s="274">
        <f>+SUM('Financial Statements'!BE140:BE144)+'Financial Statements'!BE138</f>
        <v>-44.200000000000074</v>
      </c>
      <c r="BF268" s="274">
        <f>+SUM('Financial Statements'!BF140:BF144)+'Financial Statements'!BF138</f>
        <v>-3.5000000000003624</v>
      </c>
      <c r="BG268" s="274">
        <f>+SUM('Financial Statements'!BG140:BG144)+'Financial Statements'!BG138</f>
        <v>-73.5</v>
      </c>
      <c r="BH268" s="274">
        <f>+SUM('Financial Statements'!BH140:BH144)+'Financial Statements'!BH138</f>
        <v>129.30000000000024</v>
      </c>
      <c r="BI268" s="274">
        <f>+SUM('Financial Statements'!BI140:BI144)+'Financial Statements'!BI138</f>
        <v>-219.30000000000007</v>
      </c>
      <c r="BJ268" s="274">
        <f>+SUM('Financial Statements'!BJ140:BJ144)+'Financial Statements'!BJ138</f>
        <v>56.399999999999928</v>
      </c>
      <c r="BK268" s="274">
        <f>+SUM('Financial Statements'!BK140:BK144)+'Financial Statements'!BK138</f>
        <v>-107.1</v>
      </c>
      <c r="BL268" s="274">
        <f>+SUM('Financial Statements'!BL140:BL144)+'Financial Statements'!BL138</f>
        <v>-144.29999999999998</v>
      </c>
      <c r="BM268" s="274">
        <f>+SUM('Financial Statements'!BM140:BM144)+'Financial Statements'!BM138</f>
        <v>164.69999999999993</v>
      </c>
      <c r="BN268" s="274">
        <f>+SUM('Financial Statements'!BN140:BN144)+'Financial Statements'!BN138</f>
        <v>-136.70000000000022</v>
      </c>
      <c r="BO268" s="274">
        <f>+SUM('Financial Statements'!BO140:BO144)+'Financial Statements'!BO138</f>
        <v>-102.49999999999997</v>
      </c>
      <c r="BP268" s="274">
        <f>+SUM('Financial Statements'!BP140:BP144)+'Financial Statements'!BP138</f>
        <v>-218.79999999999956</v>
      </c>
      <c r="BQ268" s="274">
        <f>+SUM('Financial Statements'!BQ140:BQ144)+'Financial Statements'!BQ138</f>
        <v>-102.39999999999995</v>
      </c>
      <c r="BR268" s="274">
        <f>+SUM('Financial Statements'!BR140:BR144)+'Financial Statements'!BR138</f>
        <v>175.10000000000002</v>
      </c>
      <c r="BS268" s="274">
        <f>+SUM('Financial Statements'!BS140:BS144)+'Financial Statements'!BS138</f>
        <v>-68.300000000000011</v>
      </c>
      <c r="BT268" s="274">
        <f>+SUM('Financial Statements'!BT140:BT144)+'Financial Statements'!BT138</f>
        <v>-167.80000000000024</v>
      </c>
      <c r="BU268" s="274">
        <f>+SUM('Financial Statements'!BU140:BU144)+'Financial Statements'!BU138</f>
        <v>-163.40000000000003</v>
      </c>
      <c r="BV268" s="274">
        <f>+SUM('Financial Statements'!BV140:BV144)+'Financial Statements'!BV138</f>
        <v>-165.59999999999997</v>
      </c>
      <c r="BW268" s="274">
        <f>+SUM('Financial Statements'!BW140:BW144)+'Financial Statements'!BW138</f>
        <v>117.49999999999974</v>
      </c>
      <c r="BX268" s="274">
        <f>+SUM('Financial Statements'!BX140:BX144)+'Financial Statements'!BX138</f>
        <v>-184.49999999999997</v>
      </c>
      <c r="BY268" s="274">
        <f>+SUM('Financial Statements'!BY140:BY144)+'Financial Statements'!BY138</f>
        <v>-55.199999999999974</v>
      </c>
      <c r="BZ268" s="274">
        <f>+SUM('Financial Statements'!BZ140:BZ144)+'Financial Statements'!BZ138</f>
        <v>-287.80000000000024</v>
      </c>
      <c r="CA268" s="274">
        <f>+SUM('Financial Statements'!CA140:CA144)+'Financial Statements'!CA138</f>
        <v>-26.975957446503003</v>
      </c>
      <c r="CB268" s="274">
        <f>+SUM('Financial Statements'!CB140:CB144)+'Financial Statements'!CB138</f>
        <v>44.203694879432589</v>
      </c>
      <c r="CC268" s="274">
        <f>+SUM('Financial Statements'!CC140:CC144)+'Financial Statements'!CC138</f>
        <v>-47.352821790980727</v>
      </c>
      <c r="CD268" s="274">
        <f>+SUM('Financial Statements'!CD140:CD144)+'Financial Statements'!CD138</f>
        <v>-78.501972627493274</v>
      </c>
      <c r="CE268" s="274">
        <f>+SUM('Financial Statements'!CE140:CE144)+'Financial Statements'!CE138</f>
        <v>-108.62705698554441</v>
      </c>
      <c r="CF268" s="274">
        <f>+SUM('Financial Statements'!CF140:CF144)+'Financial Statements'!CF138</f>
        <v>14.084351746669824</v>
      </c>
      <c r="CG268" s="274">
        <f>+SUM('Financial Statements'!CG140:CG144)+'Financial Statements'!CG138</f>
        <v>51.117530012412942</v>
      </c>
      <c r="CH268" s="274">
        <f>+SUM('Financial Statements'!CH140:CH144)+'Financial Statements'!CH138</f>
        <v>-46.299457475912732</v>
      </c>
      <c r="CI268" s="274">
        <f>+SUM('Financial Statements'!CI140:CI144)+'Financial Statements'!CI138</f>
        <v>-83.112661782562213</v>
      </c>
      <c r="CJ268" s="274">
        <f>+SUM('Financial Statements'!CJ140:CJ144)+'Financial Statements'!CJ138</f>
        <v>-64.210237499392179</v>
      </c>
      <c r="CK268" s="274">
        <f>+SUM('Financial Statements'!CK140:CK144)+'Financial Statements'!CK138</f>
        <v>-1.8502801106233733</v>
      </c>
      <c r="CL268" s="274">
        <f>+SUM('Financial Statements'!CL140:CL144)+'Financial Statements'!CL138</f>
        <v>56.573175487555375</v>
      </c>
      <c r="CM268" s="274">
        <f>+SUM('Financial Statements'!CM140:CM144)+'Financial Statements'!CM138</f>
        <v>-46.168364359192651</v>
      </c>
      <c r="CN268" s="274">
        <f>+SUM('Financial Statements'!CN140:CN144)+'Financial Statements'!CN138</f>
        <v>-87.159485831035909</v>
      </c>
      <c r="CO268" s="274">
        <f>+SUM('Financial Statements'!CO140:CO144)+'Financial Statements'!CO138</f>
        <v>-78.604954813296558</v>
      </c>
      <c r="CP268" s="274">
        <f>+SUM('Financial Statements'!CP140:CP144)+'Financial Statements'!CP138</f>
        <v>-33.221599444970934</v>
      </c>
      <c r="CQ268" s="274">
        <f>+SUM('Financial Statements'!CQ140:CQ144)+'Financial Statements'!CQ138</f>
        <v>59.170603028533492</v>
      </c>
      <c r="CR268" s="274">
        <f>+SUM('Financial Statements'!CR140:CR144)+'Financial Statements'!CR138</f>
        <v>-42.72713276524712</v>
      </c>
      <c r="CS268" s="274">
        <f>+SUM('Financial Statements'!CS140:CS144)+'Financial Statements'!CS138</f>
        <v>-90.841378098376936</v>
      </c>
      <c r="CT268" s="274">
        <f>+SUM('Financial Statements'!CT140:CT144)+'Financial Statements'!CT138</f>
        <v>-107.6195072800615</v>
      </c>
      <c r="CU268" s="274">
        <f>+SUM('Financial Statements'!CU140:CU144)+'Financial Statements'!CU138</f>
        <v>-30.38869814004795</v>
      </c>
      <c r="CV268" s="274">
        <f>+SUM('Financial Statements'!CV140:CV144)+'Financial Statements'!CV138</f>
        <v>61.621177914560349</v>
      </c>
      <c r="CW268" s="274">
        <f>+SUM('Financial Statements'!CW140:CW144)+'Financial Statements'!CW138</f>
        <v>-39.215661546628439</v>
      </c>
      <c r="CX268" s="274">
        <f>+SUM('Financial Statements'!CX140:CX144)+'Financial Statements'!CX138</f>
        <v>-94.375816753838876</v>
      </c>
      <c r="CY268" s="274">
        <f>+SUM('Financial Statements'!CY140:CY144)+'Financial Statements'!CY138</f>
        <v>-102.35899852595492</v>
      </c>
      <c r="CZ268" s="276"/>
      <c r="DB268" s="763"/>
      <c r="DC268" s="763"/>
      <c r="DG268" s="763"/>
      <c r="DH268" s="763"/>
    </row>
    <row r="269" spans="1:131" hidden="1" outlineLevel="1" x14ac:dyDescent="0.2"/>
    <row r="270" spans="1:131" hidden="1" outlineLevel="1" x14ac:dyDescent="0.2">
      <c r="A270" s="273" t="s">
        <v>248</v>
      </c>
      <c r="B270" s="273"/>
      <c r="H270" s="73">
        <f>-H42/H45</f>
        <v>4.6054504184595677</v>
      </c>
      <c r="M270" s="73">
        <f>-M42/M45</f>
        <v>5.3169934640522891</v>
      </c>
      <c r="R270" s="73">
        <f>-R42/R45</f>
        <v>4.7394514767932501</v>
      </c>
      <c r="W270" s="73">
        <f>-W42/W45</f>
        <v>3.8503907703758831</v>
      </c>
      <c r="AB270" s="73">
        <f>-AB42/AB45</f>
        <v>2.8809245172615556</v>
      </c>
      <c r="AG270" s="73">
        <f>-AG42/AG45</f>
        <v>3.2392541087231344</v>
      </c>
      <c r="AL270" s="73">
        <f>-AL42/AL45</f>
        <v>3.6487523992322455</v>
      </c>
      <c r="AQ270" s="73">
        <f>-AQ42/AQ45</f>
        <v>4.6692268305171529</v>
      </c>
    </row>
    <row r="271" spans="1:131" collapsed="1" x14ac:dyDescent="0.2">
      <c r="AR271" s="44">
        <f>AR6-'Pro-Forma Segments'!N76</f>
        <v>0.02</v>
      </c>
      <c r="AS271" s="44">
        <f>AS6-'Pro-Forma Segments'!O76</f>
        <v>3.6585365853658458E-2</v>
      </c>
      <c r="AT271" s="44">
        <f>AT6-'Pro-Forma Segments'!P76</f>
        <v>1.6045197740112996E-2</v>
      </c>
      <c r="AU271" s="44">
        <f>AU6-'Pro-Forma Segments'!Q76</f>
        <v>0.14714285714285721</v>
      </c>
      <c r="AV271" s="44">
        <f>AV6-'Pro-Forma Segments'!R76</f>
        <v>-0.17508946975016404</v>
      </c>
      <c r="AW271" s="44">
        <f>AW6-'Pro-Forma Segments'!S76</f>
        <v>2.5703036475440921E-2</v>
      </c>
      <c r="AX271" s="44">
        <f>AX6-'Pro-Forma Segments'!T76</f>
        <v>-1.345220715125528E-2</v>
      </c>
      <c r="AY271" s="44">
        <f>AY6-'Pro-Forma Segments'!U76</f>
        <v>5.072695161980878E-2</v>
      </c>
      <c r="AZ271" s="44">
        <f>AZ6-'Pro-Forma Segments'!V76</f>
        <v>5.4611261476410045E-2</v>
      </c>
      <c r="BA271" s="44">
        <f>BA6-'Pro-Forma Segments'!W76</f>
        <v>2.0796320587622263E-2</v>
      </c>
      <c r="BB271" s="44">
        <f>BB6-'Pro-Forma Segments'!X76</f>
        <v>1.3509255947819376E-2</v>
      </c>
      <c r="BC271" s="44">
        <f>BC6-'Pro-Forma Segments'!Y76</f>
        <v>1.0776370047999437</v>
      </c>
      <c r="BD271" s="44">
        <f>BD6-'Pro-Forma Segments'!Z76</f>
        <v>0.84081596649613055</v>
      </c>
      <c r="BE271" s="44">
        <f>BE6-'Pro-Forma Segments'!AA76</f>
        <v>0.81196073898673604</v>
      </c>
      <c r="BF271" s="44"/>
    </row>
    <row r="274" spans="1:103" hidden="1" outlineLevel="1" x14ac:dyDescent="0.2">
      <c r="A274" s="280" t="s">
        <v>7</v>
      </c>
    </row>
    <row r="275" spans="1:103" hidden="1" outlineLevel="1" x14ac:dyDescent="0.2">
      <c r="A275" s="281" t="s">
        <v>8</v>
      </c>
      <c r="AH275" s="45">
        <f t="shared" ref="AH275:BK275" si="368">(AH102-AH92-AH93)-AH107-AH108</f>
        <v>7438.7000000000007</v>
      </c>
      <c r="AI275" s="45">
        <f t="shared" si="368"/>
        <v>7458.7000000000007</v>
      </c>
      <c r="AJ275" s="45">
        <f t="shared" si="368"/>
        <v>7583.0999999999985</v>
      </c>
      <c r="AK275" s="45">
        <f t="shared" si="368"/>
        <v>7236.5999999999995</v>
      </c>
      <c r="AL275" s="45">
        <f t="shared" si="368"/>
        <v>7236.5999999999995</v>
      </c>
      <c r="AM275" s="45">
        <f t="shared" si="368"/>
        <v>7157.8</v>
      </c>
      <c r="AN275" s="45">
        <f t="shared" si="368"/>
        <v>7069.2</v>
      </c>
      <c r="AO275" s="45">
        <f t="shared" si="368"/>
        <v>7320.0999999999995</v>
      </c>
      <c r="AP275" s="45">
        <f t="shared" si="368"/>
        <v>6595.1</v>
      </c>
      <c r="AQ275" s="45">
        <f t="shared" si="368"/>
        <v>6595.1</v>
      </c>
      <c r="AR275" s="45">
        <f t="shared" si="368"/>
        <v>6542.1</v>
      </c>
      <c r="AS275" s="45">
        <f t="shared" si="368"/>
        <v>6449.6000000000013</v>
      </c>
      <c r="AT275" s="45">
        <f t="shared" si="368"/>
        <v>6517.9</v>
      </c>
      <c r="AU275" s="45">
        <f t="shared" si="368"/>
        <v>6532.6</v>
      </c>
      <c r="AV275" s="45">
        <f t="shared" si="368"/>
        <v>6532.6</v>
      </c>
      <c r="AW275" s="45">
        <f t="shared" si="368"/>
        <v>6486.7999999999993</v>
      </c>
      <c r="AX275" s="45">
        <f t="shared" si="368"/>
        <v>7265</v>
      </c>
      <c r="AY275" s="45">
        <f t="shared" si="368"/>
        <v>7400.9000000000015</v>
      </c>
      <c r="AZ275" s="45">
        <f t="shared" si="368"/>
        <v>6656.3</v>
      </c>
      <c r="BA275" s="45">
        <f t="shared" si="368"/>
        <v>6656.3</v>
      </c>
      <c r="BB275" s="45">
        <f t="shared" si="368"/>
        <v>8300.2000000000007</v>
      </c>
      <c r="BC275" s="45">
        <f t="shared" si="368"/>
        <v>12583.2</v>
      </c>
      <c r="BD275" s="45">
        <f t="shared" si="368"/>
        <v>12753.699999999999</v>
      </c>
      <c r="BE275" s="45">
        <f t="shared" si="368"/>
        <v>12859.7</v>
      </c>
      <c r="BF275" s="45">
        <f t="shared" si="368"/>
        <v>12859.7</v>
      </c>
      <c r="BG275" s="45">
        <f t="shared" si="368"/>
        <v>13059.3</v>
      </c>
      <c r="BH275" s="45">
        <f t="shared" si="368"/>
        <v>13545.5</v>
      </c>
      <c r="BI275" s="45">
        <f t="shared" si="368"/>
        <v>13902</v>
      </c>
      <c r="BJ275" s="45">
        <f t="shared" si="368"/>
        <v>14114.2</v>
      </c>
      <c r="BK275" s="45">
        <f t="shared" si="368"/>
        <v>14114.2</v>
      </c>
    </row>
    <row r="276" spans="1:103" hidden="1" outlineLevel="1" x14ac:dyDescent="0.2">
      <c r="A276" s="282"/>
    </row>
    <row r="277" spans="1:103" hidden="1" outlineLevel="1" x14ac:dyDescent="0.2">
      <c r="A277" s="281" t="s">
        <v>204</v>
      </c>
    </row>
    <row r="278" spans="1:103" hidden="1" outlineLevel="1" x14ac:dyDescent="0.2">
      <c r="A278" s="281" t="s">
        <v>205</v>
      </c>
    </row>
    <row r="279" spans="1:103" hidden="1" outlineLevel="1" x14ac:dyDescent="0.2">
      <c r="A279" s="281" t="s">
        <v>206</v>
      </c>
      <c r="AH279" s="74">
        <f t="shared" ref="AH279:BK279" si="369">AH224</f>
        <v>113.40712489522217</v>
      </c>
      <c r="AI279" s="74">
        <f t="shared" si="369"/>
        <v>165.9046524985641</v>
      </c>
      <c r="AJ279" s="74">
        <f t="shared" si="369"/>
        <v>161.76124530327422</v>
      </c>
      <c r="AK279" s="74">
        <f t="shared" si="369"/>
        <v>75.200000000000017</v>
      </c>
      <c r="AL279" s="74">
        <f t="shared" si="369"/>
        <v>517.60729002059543</v>
      </c>
      <c r="AM279" s="74">
        <f t="shared" si="369"/>
        <v>119.5992</v>
      </c>
      <c r="AN279" s="74">
        <f t="shared" si="369"/>
        <v>142.01979604079182</v>
      </c>
      <c r="AO279" s="74">
        <f t="shared" si="369"/>
        <v>176.48313192346427</v>
      </c>
      <c r="AP279" s="74">
        <f t="shared" si="369"/>
        <v>107.25788497217067</v>
      </c>
      <c r="AQ279" s="74">
        <f t="shared" si="369"/>
        <v>544.76772978723398</v>
      </c>
      <c r="AR279" s="74">
        <f t="shared" si="369"/>
        <v>112.02826086956517</v>
      </c>
      <c r="AS279" s="74">
        <f t="shared" si="369"/>
        <v>205.97577895355676</v>
      </c>
      <c r="AT279" s="74">
        <f t="shared" si="369"/>
        <v>130.00550688360451</v>
      </c>
      <c r="AU279" s="74">
        <f t="shared" si="369"/>
        <v>116.1675</v>
      </c>
      <c r="AV279" s="74">
        <f t="shared" si="369"/>
        <v>638.08391489361713</v>
      </c>
      <c r="AW279" s="74">
        <f t="shared" si="369"/>
        <v>108.24435146443513</v>
      </c>
      <c r="AX279" s="74">
        <f t="shared" si="369"/>
        <v>176.70351437699682</v>
      </c>
      <c r="AY279" s="74">
        <f t="shared" si="369"/>
        <v>162.94859926918389</v>
      </c>
      <c r="AZ279" s="74">
        <f t="shared" si="369"/>
        <v>134.46291497975707</v>
      </c>
      <c r="BA279" s="74">
        <f t="shared" si="369"/>
        <v>583.45524215007981</v>
      </c>
      <c r="BB279" s="74">
        <f t="shared" si="369"/>
        <v>108.66761904761901</v>
      </c>
      <c r="BC279" s="74">
        <f t="shared" si="369"/>
        <v>252.92770448548816</v>
      </c>
      <c r="BD279" s="74">
        <f t="shared" si="369"/>
        <v>281.34344100197757</v>
      </c>
      <c r="BE279" s="74">
        <f t="shared" si="369"/>
        <v>219.76016881028951</v>
      </c>
      <c r="BF279" s="74">
        <f t="shared" si="369"/>
        <v>863.99093247588451</v>
      </c>
      <c r="BG279" s="74">
        <f t="shared" si="369"/>
        <v>273.5410103545654</v>
      </c>
      <c r="BH279" s="74">
        <f t="shared" si="369"/>
        <v>279.56558877364222</v>
      </c>
      <c r="BI279" s="74">
        <f t="shared" si="369"/>
        <v>309.22382310984312</v>
      </c>
      <c r="BJ279" s="74">
        <f t="shared" si="369"/>
        <v>268.99825796886586</v>
      </c>
      <c r="BK279" s="74">
        <f t="shared" si="369"/>
        <v>1130.8001263024946</v>
      </c>
    </row>
    <row r="280" spans="1:103" hidden="1" outlineLevel="1" x14ac:dyDescent="0.2">
      <c r="A280" s="281" t="s">
        <v>203</v>
      </c>
      <c r="AL280" s="283">
        <f>AL279/AVERAGE(AH275,AI275,AJ275,AK275)</f>
        <v>6.9671305749295254E-2</v>
      </c>
      <c r="AM280" s="284">
        <f>(AI279+AJ279+AK279+AM279)/AVERAGE(AI275,AJ275,AK275,AM275)</f>
        <v>7.0996269600266129E-2</v>
      </c>
      <c r="AN280" s="284">
        <f>(AJ279+AK279+AM279+AN279)/AVERAGE(AJ275,AK275,AM275,AN275)</f>
        <v>6.8659123596699956E-2</v>
      </c>
      <c r="AO280" s="284">
        <f>(AK279+AM279+AN279+AO279)/AVERAGE(AK275,AM275,AN275,AO275)</f>
        <v>7.1332334337038825E-2</v>
      </c>
      <c r="AP280" s="284">
        <f>SUM(AM279:AP279)/AVERAGE(AM275:AP275)</f>
        <v>7.7514908278162584E-2</v>
      </c>
      <c r="AQ280" s="283">
        <f>AQ279/AVERAGE(AM275,AN275,AO275,AP275)</f>
        <v>7.7430723935901821E-2</v>
      </c>
      <c r="AR280" s="284">
        <f>(AN279+AO279+AP279+AR279)/AVERAGE(AN275,AO275,AP275,AR275)</f>
        <v>7.8148558488146613E-2</v>
      </c>
      <c r="AS280" s="284">
        <f>(AO279+AP279+AR279+AS279)/AVERAGE(AO275,AP275,AR275,AS275)</f>
        <v>8.9455872912711135E-2</v>
      </c>
      <c r="AT280" s="284">
        <f>(AP279+AR279+AS279+AT279)/AVERAGE(AP275,AR275,AS275,AT275)</f>
        <v>8.5083135478116509E-2</v>
      </c>
      <c r="AU280" s="284">
        <f>SUM(AR279:AU279)/AVERAGE(AR275:AU275)</f>
        <v>8.665581966296651E-2</v>
      </c>
      <c r="AV280" s="283">
        <f>AV279/AVERAGE(AR275,AS275,AT275,AU275)</f>
        <v>9.8007682130329579E-2</v>
      </c>
      <c r="AW280" s="284">
        <f>(AS279+AT279+AU279+AW279)/AVERAGE(AS275,AT275,AU275,AW275)</f>
        <v>8.6257789471094512E-2</v>
      </c>
      <c r="AX280" s="284">
        <f>(AT279+AU279+AW279+AX279)/AVERAGE(AT275,AU275,AW275,AX275)</f>
        <v>7.926496945785047E-2</v>
      </c>
      <c r="AY280" s="284">
        <f>(AU279+AW279+AX279+AY279)/AVERAGE(AU275,AW275,AX275,AY275)</f>
        <v>8.1496529221011263E-2</v>
      </c>
      <c r="AZ280" s="284">
        <f>SUM(AW279:AZ279)/AVERAGE(AW275:AZ275)</f>
        <v>8.3765598200636185E-2</v>
      </c>
      <c r="BA280" s="283">
        <f>BA279/AVERAGE(AW275,AX275,AY275,AZ275)</f>
        <v>8.3923225164526563E-2</v>
      </c>
      <c r="BB280" s="284">
        <f>(AX279+AY279+AZ279+BB279)/AVERAGE(AX275,AY275,AZ275,BB275)</f>
        <v>7.8694858981521662E-2</v>
      </c>
      <c r="BC280" s="284">
        <f>(AY279+AZ279+BB279+BC279)/AVERAGE(AY275,AZ275,BB275,BC275)</f>
        <v>7.5443104901695812E-2</v>
      </c>
      <c r="BD280" s="284">
        <f>(AZ279+BB279+BC279+BD279)/AVERAGE(AZ275,BB275,BC275,BD275)</f>
        <v>7.7174095957634928E-2</v>
      </c>
      <c r="BE280" s="284">
        <f>SUM(BB279:BE279)/AVERAGE(BB275:BE275)</f>
        <v>7.4215768254621756E-2</v>
      </c>
      <c r="BF280" s="283">
        <f>BF279/AVERAGE(BB275,BC275,BD275,BE275)</f>
        <v>7.4326915613623687E-2</v>
      </c>
      <c r="BG280" s="284">
        <f>(BC279+BD279+BE279+BG279)/AVERAGE(BC275,BD275,BE275,BG275)</f>
        <v>8.0191534996152294E-2</v>
      </c>
      <c r="BH280" s="284">
        <f>(BD279+BE279+BG279+BH279)/AVERAGE(BD275,BE275,BG275,BH275)</f>
        <v>8.0754235798282961E-2</v>
      </c>
      <c r="BI280" s="284">
        <f>(BE279+BG279+BH279+BI279)/AVERAGE(BE275,BG275,BH275,BI275)</f>
        <v>8.1106356313293188E-2</v>
      </c>
      <c r="BJ280" s="284">
        <f>SUM(BG279:BJ279)/AVERAGE(BG275:BJ275)</f>
        <v>8.284935685592841E-2</v>
      </c>
      <c r="BK280" s="283">
        <f>BK279/AVERAGE(BG275,BH275,BI275,BJ275)</f>
        <v>8.2810649845480283E-2</v>
      </c>
    </row>
    <row r="281" spans="1:103" collapsed="1" x14ac:dyDescent="0.2"/>
    <row r="285" spans="1:103" hidden="1" outlineLevel="1" x14ac:dyDescent="0.2">
      <c r="A285" s="321" t="s">
        <v>10</v>
      </c>
    </row>
    <row r="286" spans="1:103" hidden="1" outlineLevel="1" x14ac:dyDescent="0.2">
      <c r="A286" s="322" t="s">
        <v>58</v>
      </c>
      <c r="AG286" s="46">
        <f t="shared" ref="AG286:BL286" si="370">AG5</f>
        <v>3654.6</v>
      </c>
      <c r="AH286" s="2">
        <f t="shared" si="370"/>
        <v>791.6</v>
      </c>
      <c r="AI286" s="2">
        <f t="shared" si="370"/>
        <v>876.80000000000007</v>
      </c>
      <c r="AJ286" s="2">
        <f t="shared" si="370"/>
        <v>987.69999999999993</v>
      </c>
      <c r="AK286" s="2">
        <f t="shared" si="370"/>
        <v>708.7</v>
      </c>
      <c r="AL286" s="46">
        <f t="shared" si="370"/>
        <v>3364.8</v>
      </c>
      <c r="AM286" s="2">
        <f t="shared" si="370"/>
        <v>787.5</v>
      </c>
      <c r="AN286" s="2">
        <f t="shared" si="370"/>
        <v>862.8</v>
      </c>
      <c r="AO286" s="2">
        <f t="shared" si="370"/>
        <v>966.4</v>
      </c>
      <c r="AP286" s="2">
        <f t="shared" si="370"/>
        <v>715.3</v>
      </c>
      <c r="AQ286" s="159">
        <f t="shared" si="370"/>
        <v>3332</v>
      </c>
      <c r="AR286" s="63">
        <f t="shared" si="370"/>
        <v>635.29999999999995</v>
      </c>
      <c r="AS286" s="63">
        <f t="shared" si="370"/>
        <v>690.2</v>
      </c>
      <c r="AT286" s="63">
        <f t="shared" si="370"/>
        <v>700.7</v>
      </c>
      <c r="AU286" s="63">
        <f t="shared" si="370"/>
        <v>628.1</v>
      </c>
      <c r="AV286" s="247">
        <f t="shared" si="370"/>
        <v>2654.3</v>
      </c>
      <c r="AW286" s="63">
        <f t="shared" si="370"/>
        <v>634.79999999999995</v>
      </c>
      <c r="AX286" s="63">
        <f t="shared" si="370"/>
        <v>698.5</v>
      </c>
      <c r="AY286" s="62">
        <f t="shared" si="370"/>
        <v>766.9</v>
      </c>
      <c r="AZ286" s="63">
        <f t="shared" si="370"/>
        <v>695.9</v>
      </c>
      <c r="BA286" s="247">
        <f t="shared" si="370"/>
        <v>2796.1</v>
      </c>
      <c r="BB286" s="62">
        <f t="shared" si="370"/>
        <v>673.4</v>
      </c>
      <c r="BC286" s="63">
        <f t="shared" si="370"/>
        <v>1459.8</v>
      </c>
      <c r="BD286" s="62">
        <f t="shared" si="370"/>
        <v>1443.3</v>
      </c>
      <c r="BE286" s="62">
        <f t="shared" si="370"/>
        <v>1291.2</v>
      </c>
      <c r="BF286" s="247">
        <f t="shared" si="370"/>
        <v>4867.7</v>
      </c>
      <c r="BG286" s="249">
        <f t="shared" si="370"/>
        <v>1526</v>
      </c>
      <c r="BH286" s="249">
        <f t="shared" si="370"/>
        <v>1607.6</v>
      </c>
      <c r="BI286" s="249">
        <f t="shared" si="370"/>
        <v>1541.5</v>
      </c>
      <c r="BJ286" s="249">
        <f t="shared" si="370"/>
        <v>1352.9</v>
      </c>
      <c r="BK286" s="247">
        <f t="shared" si="370"/>
        <v>6028</v>
      </c>
      <c r="BL286" s="249">
        <f t="shared" si="370"/>
        <v>1631.3</v>
      </c>
      <c r="BM286" s="249">
        <f t="shared" ref="BM286:CR286" si="371">BM5</f>
        <v>1733.4</v>
      </c>
      <c r="BN286" s="249">
        <f t="shared" si="371"/>
        <v>1640.5</v>
      </c>
      <c r="BO286" s="249">
        <f t="shared" si="371"/>
        <v>1543.2</v>
      </c>
      <c r="BP286" s="247">
        <f t="shared" si="371"/>
        <v>6548.4</v>
      </c>
      <c r="BQ286" s="249">
        <f t="shared" si="371"/>
        <v>1871.8</v>
      </c>
      <c r="BR286" s="249">
        <f t="shared" si="371"/>
        <v>2021.2</v>
      </c>
      <c r="BS286" s="249">
        <f t="shared" si="371"/>
        <v>1810.5</v>
      </c>
      <c r="BT286" s="249">
        <f t="shared" si="371"/>
        <v>1628</v>
      </c>
      <c r="BU286" s="247">
        <f t="shared" si="371"/>
        <v>7331.5</v>
      </c>
      <c r="BV286" s="249">
        <f t="shared" si="371"/>
        <v>1935.5</v>
      </c>
      <c r="BW286" s="249">
        <f t="shared" si="371"/>
        <v>2084.5</v>
      </c>
      <c r="BX286" s="249">
        <f t="shared" si="371"/>
        <v>1799.1</v>
      </c>
      <c r="BY286" s="249">
        <f t="shared" si="371"/>
        <v>1765.9</v>
      </c>
      <c r="BZ286" s="247">
        <f t="shared" si="371"/>
        <v>7585</v>
      </c>
      <c r="CA286" s="249">
        <f t="shared" si="371"/>
        <v>2070.6095102500003</v>
      </c>
      <c r="CB286" s="249">
        <f t="shared" si="371"/>
        <v>2257.2523620000002</v>
      </c>
      <c r="CC286" s="249">
        <f t="shared" si="371"/>
        <v>1974.6368984999999</v>
      </c>
      <c r="CD286" s="249">
        <f t="shared" si="371"/>
        <v>1894.5926090000003</v>
      </c>
      <c r="CE286" s="247">
        <f t="shared" si="371"/>
        <v>8197.0913797499998</v>
      </c>
      <c r="CF286" s="249">
        <f t="shared" si="371"/>
        <v>2208.4756818230617</v>
      </c>
      <c r="CG286" s="249">
        <f t="shared" si="371"/>
        <v>2407.1446621890905</v>
      </c>
      <c r="CH286" s="249">
        <f t="shared" si="371"/>
        <v>2097.5819310938327</v>
      </c>
      <c r="CI286" s="249">
        <f t="shared" si="371"/>
        <v>2011.6833135795055</v>
      </c>
      <c r="CJ286" s="247">
        <f t="shared" si="371"/>
        <v>8724.8855886854908</v>
      </c>
      <c r="CK286" s="249">
        <f t="shared" si="371"/>
        <v>2329.3206465707162</v>
      </c>
      <c r="CL286" s="249">
        <f t="shared" si="371"/>
        <v>2538.5814536448197</v>
      </c>
      <c r="CM286" s="249">
        <f t="shared" si="371"/>
        <v>2206.42157064195</v>
      </c>
      <c r="CN286" s="249">
        <f t="shared" si="371"/>
        <v>2115.4574547884181</v>
      </c>
      <c r="CO286" s="247">
        <f t="shared" si="371"/>
        <v>9189.7811256459045</v>
      </c>
      <c r="CP286" s="249">
        <f t="shared" si="371"/>
        <v>2445.1824709788571</v>
      </c>
      <c r="CQ286" s="249">
        <f t="shared" si="371"/>
        <v>2664.6224707374972</v>
      </c>
      <c r="CR286" s="249">
        <f t="shared" si="371"/>
        <v>2311.2864379056987</v>
      </c>
      <c r="CS286" s="249">
        <f t="shared" ref="CS286:CY286" si="372">CS5</f>
        <v>2215.4972803758837</v>
      </c>
      <c r="CT286" s="247">
        <f t="shared" si="372"/>
        <v>9636.5886599979385</v>
      </c>
      <c r="CU286" s="249">
        <f t="shared" si="372"/>
        <v>2556.733241728788</v>
      </c>
      <c r="CV286" s="249">
        <f t="shared" si="372"/>
        <v>2785.9671831758669</v>
      </c>
      <c r="CW286" s="249">
        <f t="shared" si="372"/>
        <v>2412.1111981157201</v>
      </c>
      <c r="CX286" s="249">
        <f t="shared" si="372"/>
        <v>2311.6680283704954</v>
      </c>
      <c r="CY286" s="247">
        <f t="shared" si="372"/>
        <v>10066.47965139087</v>
      </c>
    </row>
    <row r="287" spans="1:103" hidden="1" outlineLevel="1" x14ac:dyDescent="0.2">
      <c r="A287" s="322" t="s">
        <v>67</v>
      </c>
      <c r="AG287" s="46">
        <f t="shared" ref="AG287:BL287" si="373">AG27</f>
        <v>597.99999999999977</v>
      </c>
      <c r="AH287" s="2">
        <f t="shared" si="373"/>
        <v>123.30000000000004</v>
      </c>
      <c r="AI287" s="2">
        <f t="shared" si="373"/>
        <v>167.50000000000003</v>
      </c>
      <c r="AJ287" s="2">
        <f t="shared" si="373"/>
        <v>190.29999999999995</v>
      </c>
      <c r="AK287" s="2">
        <f t="shared" si="373"/>
        <v>74.500000000000028</v>
      </c>
      <c r="AL287" s="46">
        <f t="shared" si="373"/>
        <v>555.6</v>
      </c>
      <c r="AM287" s="2">
        <f t="shared" si="373"/>
        <v>103.19999999999999</v>
      </c>
      <c r="AN287" s="2">
        <f t="shared" si="373"/>
        <v>150.49999999999997</v>
      </c>
      <c r="AO287" s="2">
        <f t="shared" si="373"/>
        <v>176.3</v>
      </c>
      <c r="AP287" s="2">
        <f t="shared" si="373"/>
        <v>103.69999999999999</v>
      </c>
      <c r="AQ287" s="159">
        <f t="shared" si="373"/>
        <v>533.70000000000005</v>
      </c>
      <c r="AR287" s="63">
        <f t="shared" si="373"/>
        <v>115.49999999999994</v>
      </c>
      <c r="AS287" s="63">
        <f t="shared" si="373"/>
        <v>148.60000000000002</v>
      </c>
      <c r="AT287" s="63">
        <f t="shared" si="373"/>
        <v>152.80000000000004</v>
      </c>
      <c r="AU287" s="63">
        <f t="shared" si="373"/>
        <v>123.1</v>
      </c>
      <c r="AV287" s="247">
        <f t="shared" si="373"/>
        <v>540</v>
      </c>
      <c r="AW287" s="63">
        <f t="shared" si="373"/>
        <v>109.59999999999997</v>
      </c>
      <c r="AX287" s="63">
        <f t="shared" si="373"/>
        <v>140.60000000000002</v>
      </c>
      <c r="AY287" s="62">
        <f t="shared" si="373"/>
        <v>172.89999999999995</v>
      </c>
      <c r="AZ287" s="63">
        <f t="shared" si="373"/>
        <v>133.6</v>
      </c>
      <c r="BA287" s="247">
        <f t="shared" si="373"/>
        <v>556.69999999999993</v>
      </c>
      <c r="BB287" s="62">
        <f t="shared" si="373"/>
        <v>103.59999999999997</v>
      </c>
      <c r="BC287" s="63">
        <f t="shared" si="373"/>
        <v>351.90000000000003</v>
      </c>
      <c r="BD287" s="62">
        <f t="shared" si="373"/>
        <v>375</v>
      </c>
      <c r="BE287" s="62">
        <f t="shared" si="373"/>
        <v>337.80000000000013</v>
      </c>
      <c r="BF287" s="247">
        <f t="shared" si="373"/>
        <v>1168.3000000000002</v>
      </c>
      <c r="BG287" s="249">
        <f t="shared" si="373"/>
        <v>404.6</v>
      </c>
      <c r="BH287" s="249">
        <f t="shared" si="373"/>
        <v>413.39999999999981</v>
      </c>
      <c r="BI287" s="249">
        <f t="shared" si="373"/>
        <v>415.30000000000007</v>
      </c>
      <c r="BJ287" s="249">
        <f t="shared" si="373"/>
        <v>349.70000000000005</v>
      </c>
      <c r="BK287" s="247">
        <f t="shared" si="373"/>
        <v>1583</v>
      </c>
      <c r="BL287" s="249">
        <f t="shared" si="373"/>
        <v>454.19999999999993</v>
      </c>
      <c r="BM287" s="249">
        <f t="shared" ref="BM287:CR287" si="374">BM27</f>
        <v>500.9000000000002</v>
      </c>
      <c r="BN287" s="249">
        <f t="shared" si="374"/>
        <v>475.8</v>
      </c>
      <c r="BO287" s="249">
        <f t="shared" si="374"/>
        <v>434.70000000000005</v>
      </c>
      <c r="BP287" s="247">
        <f t="shared" si="374"/>
        <v>1865.6</v>
      </c>
      <c r="BQ287" s="249">
        <f t="shared" si="374"/>
        <v>548.69999999999993</v>
      </c>
      <c r="BR287" s="249">
        <f t="shared" si="374"/>
        <v>620.20000000000005</v>
      </c>
      <c r="BS287" s="249">
        <f t="shared" si="374"/>
        <v>531.6</v>
      </c>
      <c r="BT287" s="249">
        <f t="shared" si="374"/>
        <v>494.80000000000007</v>
      </c>
      <c r="BU287" s="247">
        <f t="shared" si="374"/>
        <v>2195.3000000000002</v>
      </c>
      <c r="BV287" s="249">
        <f t="shared" si="374"/>
        <v>668.8</v>
      </c>
      <c r="BW287" s="249">
        <f t="shared" si="374"/>
        <v>709.80000000000018</v>
      </c>
      <c r="BX287" s="249">
        <f t="shared" si="374"/>
        <v>550.09999999999991</v>
      </c>
      <c r="BY287" s="249">
        <f t="shared" si="374"/>
        <v>544.50000000000023</v>
      </c>
      <c r="BZ287" s="247">
        <f t="shared" si="374"/>
        <v>2473.2000000000003</v>
      </c>
      <c r="CA287" s="249">
        <f t="shared" si="374"/>
        <v>703.24383952050005</v>
      </c>
      <c r="CB287" s="249">
        <f t="shared" si="374"/>
        <v>783.36778944800017</v>
      </c>
      <c r="CC287" s="249">
        <f t="shared" si="374"/>
        <v>631.32348453575014</v>
      </c>
      <c r="CD287" s="249">
        <f t="shared" si="374"/>
        <v>602.39322189450013</v>
      </c>
      <c r="CE287" s="247">
        <f t="shared" si="374"/>
        <v>2720.3283353987495</v>
      </c>
      <c r="CF287" s="249">
        <f t="shared" si="374"/>
        <v>772.22477146468782</v>
      </c>
      <c r="CG287" s="249">
        <f t="shared" si="374"/>
        <v>859.65030572577302</v>
      </c>
      <c r="CH287" s="249">
        <f t="shared" si="374"/>
        <v>690.32035129751296</v>
      </c>
      <c r="CI287" s="249">
        <f t="shared" si="374"/>
        <v>658.74695682994911</v>
      </c>
      <c r="CJ287" s="247">
        <f t="shared" si="374"/>
        <v>2980.9423853179233</v>
      </c>
      <c r="CK287" s="249">
        <f t="shared" si="374"/>
        <v>827.57631041928573</v>
      </c>
      <c r="CL287" s="249">
        <f t="shared" si="374"/>
        <v>920.94687750134835</v>
      </c>
      <c r="CM287" s="249">
        <f t="shared" si="374"/>
        <v>737.74018841863381</v>
      </c>
      <c r="CN287" s="249">
        <f t="shared" si="374"/>
        <v>704.04922713765654</v>
      </c>
      <c r="CO287" s="247">
        <f t="shared" si="374"/>
        <v>3190.3126034769248</v>
      </c>
      <c r="CP287" s="249">
        <f t="shared" si="374"/>
        <v>881.5771631273534</v>
      </c>
      <c r="CQ287" s="249">
        <f t="shared" si="374"/>
        <v>980.72303443377223</v>
      </c>
      <c r="CR287" s="249">
        <f t="shared" si="374"/>
        <v>784.13134555290992</v>
      </c>
      <c r="CS287" s="249">
        <f t="shared" ref="CS287:CY287" si="375">CS27</f>
        <v>748.36072138195061</v>
      </c>
      <c r="CT287" s="247">
        <f t="shared" si="375"/>
        <v>3394.7922644959881</v>
      </c>
      <c r="CU287" s="249">
        <f t="shared" si="375"/>
        <v>932.19945313484084</v>
      </c>
      <c r="CV287" s="249">
        <f t="shared" si="375"/>
        <v>1036.7912356744275</v>
      </c>
      <c r="CW287" s="249">
        <f t="shared" si="375"/>
        <v>827.61248699859971</v>
      </c>
      <c r="CX287" s="249">
        <f t="shared" si="375"/>
        <v>789.89630175786806</v>
      </c>
      <c r="CY287" s="247">
        <f t="shared" si="375"/>
        <v>3586.4994775657356</v>
      </c>
    </row>
    <row r="288" spans="1:103" hidden="1" outlineLevel="1" x14ac:dyDescent="0.2">
      <c r="A288" s="322" t="s">
        <v>11</v>
      </c>
      <c r="AG288" s="46">
        <f t="shared" ref="AG288:BL288" si="376">AG46</f>
        <v>0</v>
      </c>
      <c r="AH288" s="2">
        <f t="shared" si="376"/>
        <v>0</v>
      </c>
      <c r="AI288" s="2">
        <f t="shared" si="376"/>
        <v>0</v>
      </c>
      <c r="AJ288" s="2">
        <f t="shared" si="376"/>
        <v>0</v>
      </c>
      <c r="AK288" s="2">
        <f t="shared" si="376"/>
        <v>0</v>
      </c>
      <c r="AL288" s="46">
        <f t="shared" si="376"/>
        <v>0</v>
      </c>
      <c r="AM288" s="2">
        <f t="shared" si="376"/>
        <v>0</v>
      </c>
      <c r="AN288" s="2">
        <f t="shared" si="376"/>
        <v>0</v>
      </c>
      <c r="AO288" s="2">
        <f t="shared" si="376"/>
        <v>0</v>
      </c>
      <c r="AP288" s="2">
        <f t="shared" si="376"/>
        <v>0</v>
      </c>
      <c r="AQ288" s="159">
        <f t="shared" si="376"/>
        <v>0</v>
      </c>
      <c r="AR288" s="63">
        <f t="shared" si="376"/>
        <v>0</v>
      </c>
      <c r="AS288" s="63">
        <f t="shared" si="376"/>
        <v>0</v>
      </c>
      <c r="AT288" s="63">
        <f t="shared" si="376"/>
        <v>0</v>
      </c>
      <c r="AU288" s="63">
        <f t="shared" si="376"/>
        <v>0</v>
      </c>
      <c r="AV288" s="247">
        <f t="shared" si="376"/>
        <v>0</v>
      </c>
      <c r="AW288" s="63">
        <f t="shared" si="376"/>
        <v>0</v>
      </c>
      <c r="AX288" s="63">
        <f t="shared" si="376"/>
        <v>0</v>
      </c>
      <c r="AY288" s="62">
        <f t="shared" si="376"/>
        <v>0</v>
      </c>
      <c r="AZ288" s="63">
        <f t="shared" si="376"/>
        <v>0</v>
      </c>
      <c r="BA288" s="247">
        <f t="shared" si="376"/>
        <v>0</v>
      </c>
      <c r="BB288" s="62">
        <f t="shared" si="376"/>
        <v>0</v>
      </c>
      <c r="BC288" s="63">
        <f t="shared" si="376"/>
        <v>0</v>
      </c>
      <c r="BD288" s="62">
        <f t="shared" si="376"/>
        <v>0</v>
      </c>
      <c r="BE288" s="62">
        <f t="shared" si="376"/>
        <v>0</v>
      </c>
      <c r="BF288" s="247">
        <f t="shared" si="376"/>
        <v>0</v>
      </c>
      <c r="BG288" s="249">
        <f t="shared" si="376"/>
        <v>0</v>
      </c>
      <c r="BH288" s="249">
        <f t="shared" si="376"/>
        <v>0</v>
      </c>
      <c r="BI288" s="249">
        <f t="shared" si="376"/>
        <v>0</v>
      </c>
      <c r="BJ288" s="249">
        <f t="shared" si="376"/>
        <v>0</v>
      </c>
      <c r="BK288" s="247">
        <f t="shared" si="376"/>
        <v>0</v>
      </c>
      <c r="BL288" s="249">
        <f t="shared" si="376"/>
        <v>0</v>
      </c>
      <c r="BM288" s="249">
        <f t="shared" ref="BM288:CR288" si="377">BM46</f>
        <v>0</v>
      </c>
      <c r="BN288" s="249">
        <f t="shared" si="377"/>
        <v>0</v>
      </c>
      <c r="BO288" s="249">
        <f t="shared" si="377"/>
        <v>0</v>
      </c>
      <c r="BP288" s="247">
        <f t="shared" si="377"/>
        <v>0</v>
      </c>
      <c r="BQ288" s="249">
        <f t="shared" si="377"/>
        <v>0</v>
      </c>
      <c r="BR288" s="249">
        <f t="shared" si="377"/>
        <v>0</v>
      </c>
      <c r="BS288" s="249">
        <f t="shared" si="377"/>
        <v>0</v>
      </c>
      <c r="BT288" s="249">
        <f t="shared" si="377"/>
        <v>0</v>
      </c>
      <c r="BU288" s="247">
        <f t="shared" si="377"/>
        <v>0</v>
      </c>
      <c r="BV288" s="249">
        <f t="shared" si="377"/>
        <v>0</v>
      </c>
      <c r="BW288" s="249">
        <f t="shared" si="377"/>
        <v>0</v>
      </c>
      <c r="BX288" s="249">
        <f t="shared" si="377"/>
        <v>0</v>
      </c>
      <c r="BY288" s="249">
        <f t="shared" si="377"/>
        <v>0</v>
      </c>
      <c r="BZ288" s="247">
        <f t="shared" si="377"/>
        <v>0</v>
      </c>
      <c r="CA288" s="249">
        <f t="shared" si="377"/>
        <v>0</v>
      </c>
      <c r="CB288" s="249">
        <f t="shared" si="377"/>
        <v>0</v>
      </c>
      <c r="CC288" s="249">
        <f t="shared" si="377"/>
        <v>0</v>
      </c>
      <c r="CD288" s="249">
        <f t="shared" si="377"/>
        <v>0</v>
      </c>
      <c r="CE288" s="247">
        <f t="shared" si="377"/>
        <v>0</v>
      </c>
      <c r="CF288" s="249">
        <f t="shared" si="377"/>
        <v>0</v>
      </c>
      <c r="CG288" s="249">
        <f t="shared" si="377"/>
        <v>0</v>
      </c>
      <c r="CH288" s="249">
        <f t="shared" si="377"/>
        <v>0</v>
      </c>
      <c r="CI288" s="249">
        <f t="shared" si="377"/>
        <v>0</v>
      </c>
      <c r="CJ288" s="247">
        <f t="shared" si="377"/>
        <v>0</v>
      </c>
      <c r="CK288" s="249">
        <f t="shared" si="377"/>
        <v>0</v>
      </c>
      <c r="CL288" s="249">
        <f t="shared" si="377"/>
        <v>0</v>
      </c>
      <c r="CM288" s="249">
        <f t="shared" si="377"/>
        <v>0</v>
      </c>
      <c r="CN288" s="249">
        <f t="shared" si="377"/>
        <v>0</v>
      </c>
      <c r="CO288" s="247">
        <f t="shared" si="377"/>
        <v>0</v>
      </c>
      <c r="CP288" s="249">
        <f t="shared" si="377"/>
        <v>0</v>
      </c>
      <c r="CQ288" s="249">
        <f t="shared" si="377"/>
        <v>0</v>
      </c>
      <c r="CR288" s="249">
        <f t="shared" si="377"/>
        <v>0</v>
      </c>
      <c r="CS288" s="249">
        <f t="shared" ref="CS288:CY288" si="378">CS46</f>
        <v>0</v>
      </c>
      <c r="CT288" s="247">
        <f t="shared" si="378"/>
        <v>0</v>
      </c>
      <c r="CU288" s="249">
        <f t="shared" si="378"/>
        <v>0</v>
      </c>
      <c r="CV288" s="249">
        <f t="shared" si="378"/>
        <v>0</v>
      </c>
      <c r="CW288" s="249">
        <f t="shared" si="378"/>
        <v>0</v>
      </c>
      <c r="CX288" s="249">
        <f t="shared" si="378"/>
        <v>0</v>
      </c>
      <c r="CY288" s="247">
        <f t="shared" si="378"/>
        <v>0</v>
      </c>
    </row>
    <row r="289" spans="1:103" hidden="1" outlineLevel="1" x14ac:dyDescent="0.2">
      <c r="A289" s="322" t="s">
        <v>12</v>
      </c>
      <c r="AG289" s="46">
        <f t="shared" ref="AG289:BL289" si="379">AG42</f>
        <v>1024.8999999999996</v>
      </c>
      <c r="AH289" s="2">
        <f t="shared" si="379"/>
        <v>223.3</v>
      </c>
      <c r="AI289" s="2">
        <f t="shared" si="379"/>
        <v>286.60000000000002</v>
      </c>
      <c r="AJ289" s="2">
        <f t="shared" si="379"/>
        <v>287.59999999999997</v>
      </c>
      <c r="AK289" s="2">
        <f t="shared" si="379"/>
        <v>153.00000000000003</v>
      </c>
      <c r="AL289" s="46">
        <f t="shared" si="379"/>
        <v>950.5</v>
      </c>
      <c r="AM289" s="2">
        <f t="shared" si="379"/>
        <v>192.79999999999998</v>
      </c>
      <c r="AN289" s="2">
        <f t="shared" si="379"/>
        <v>250.69999999999996</v>
      </c>
      <c r="AO289" s="2">
        <f t="shared" si="379"/>
        <v>282.3</v>
      </c>
      <c r="AP289" s="2">
        <f t="shared" si="379"/>
        <v>186.1</v>
      </c>
      <c r="AQ289" s="159">
        <f t="shared" si="379"/>
        <v>911.90000000000009</v>
      </c>
      <c r="AR289" s="63">
        <f t="shared" si="379"/>
        <v>204.59999999999994</v>
      </c>
      <c r="AS289" s="63">
        <f t="shared" si="379"/>
        <v>238.00000000000003</v>
      </c>
      <c r="AT289" s="63">
        <f t="shared" si="379"/>
        <v>234.40000000000003</v>
      </c>
      <c r="AU289" s="63">
        <f t="shared" si="379"/>
        <v>201.8</v>
      </c>
      <c r="AV289" s="247">
        <f t="shared" si="379"/>
        <v>878.8</v>
      </c>
      <c r="AW289" s="63">
        <f t="shared" si="379"/>
        <v>199.69999999999996</v>
      </c>
      <c r="AX289" s="63">
        <f t="shared" si="379"/>
        <v>234.00000000000003</v>
      </c>
      <c r="AY289" s="62">
        <f t="shared" si="379"/>
        <v>261.69999999999993</v>
      </c>
      <c r="AZ289" s="63">
        <f t="shared" si="379"/>
        <v>203.6</v>
      </c>
      <c r="BA289" s="247">
        <f t="shared" si="379"/>
        <v>899</v>
      </c>
      <c r="BB289" s="62">
        <f t="shared" si="379"/>
        <v>200.99999999999994</v>
      </c>
      <c r="BC289" s="63">
        <f t="shared" si="379"/>
        <v>401.1</v>
      </c>
      <c r="BD289" s="62">
        <f t="shared" si="379"/>
        <v>430.1</v>
      </c>
      <c r="BE289" s="62">
        <f t="shared" si="379"/>
        <v>363.80000000000013</v>
      </c>
      <c r="BF289" s="247">
        <f t="shared" si="379"/>
        <v>1396.0000000000002</v>
      </c>
      <c r="BG289" s="249">
        <f t="shared" si="379"/>
        <v>444.1</v>
      </c>
      <c r="BH289" s="249">
        <f t="shared" si="379"/>
        <v>452.0999999999998</v>
      </c>
      <c r="BI289" s="249">
        <f t="shared" si="379"/>
        <v>476.60000000000008</v>
      </c>
      <c r="BJ289" s="249">
        <f t="shared" si="379"/>
        <v>393.70000000000005</v>
      </c>
      <c r="BK289" s="247">
        <f t="shared" si="379"/>
        <v>1766.5</v>
      </c>
      <c r="BL289" s="249">
        <f t="shared" si="379"/>
        <v>498.19999999999993</v>
      </c>
      <c r="BM289" s="249">
        <f t="shared" ref="BM289:CR289" si="380">BM42</f>
        <v>546.80000000000018</v>
      </c>
      <c r="BN289" s="249">
        <f t="shared" si="380"/>
        <v>544.9</v>
      </c>
      <c r="BO289" s="249">
        <f t="shared" si="380"/>
        <v>523.30000000000007</v>
      </c>
      <c r="BP289" s="247">
        <f t="shared" si="380"/>
        <v>2113.1999999999998</v>
      </c>
      <c r="BQ289" s="249">
        <f t="shared" si="380"/>
        <v>609.4</v>
      </c>
      <c r="BR289" s="249">
        <f t="shared" si="380"/>
        <v>680.40000000000009</v>
      </c>
      <c r="BS289" s="249">
        <f t="shared" si="380"/>
        <v>622.6</v>
      </c>
      <c r="BT289" s="249">
        <f t="shared" si="380"/>
        <v>605.80000000000007</v>
      </c>
      <c r="BU289" s="247">
        <f t="shared" si="380"/>
        <v>2518.2000000000003</v>
      </c>
      <c r="BV289" s="249">
        <f t="shared" si="380"/>
        <v>739.3</v>
      </c>
      <c r="BW289" s="249">
        <f t="shared" si="380"/>
        <v>780.80000000000018</v>
      </c>
      <c r="BX289" s="249">
        <f t="shared" si="380"/>
        <v>655.8</v>
      </c>
      <c r="BY289" s="249">
        <f t="shared" si="380"/>
        <v>625.70000000000016</v>
      </c>
      <c r="BZ289" s="247">
        <f t="shared" si="380"/>
        <v>2801.6000000000004</v>
      </c>
      <c r="CA289" s="249">
        <f t="shared" si="380"/>
        <v>786.65276138787181</v>
      </c>
      <c r="CB289" s="249">
        <f t="shared" si="380"/>
        <v>865.66147515792761</v>
      </c>
      <c r="CC289" s="249">
        <f t="shared" si="380"/>
        <v>749.61325569839983</v>
      </c>
      <c r="CD289" s="249">
        <f t="shared" si="380"/>
        <v>696.50265372799652</v>
      </c>
      <c r="CE289" s="247">
        <f t="shared" si="380"/>
        <v>3098.4301459721946</v>
      </c>
      <c r="CF289" s="249">
        <f t="shared" si="380"/>
        <v>862.97526180314924</v>
      </c>
      <c r="CG289" s="249">
        <f t="shared" si="380"/>
        <v>947.09563445945957</v>
      </c>
      <c r="CH289" s="249">
        <f t="shared" si="380"/>
        <v>814.52953708023165</v>
      </c>
      <c r="CI289" s="249">
        <f t="shared" si="380"/>
        <v>755.64279749321133</v>
      </c>
      <c r="CJ289" s="247">
        <f t="shared" si="380"/>
        <v>3380.2432308360521</v>
      </c>
      <c r="CK289" s="249">
        <f t="shared" si="380"/>
        <v>945.39352964844659</v>
      </c>
      <c r="CL289" s="249">
        <f t="shared" si="380"/>
        <v>1033.5194835030934</v>
      </c>
      <c r="CM289" s="249">
        <f t="shared" si="380"/>
        <v>886.3940848033086</v>
      </c>
      <c r="CN289" s="249">
        <f t="shared" si="380"/>
        <v>823.43785378089751</v>
      </c>
      <c r="CO289" s="247">
        <f t="shared" si="380"/>
        <v>3688.7449517357463</v>
      </c>
      <c r="CP289" s="249">
        <f t="shared" si="380"/>
        <v>1002.0745079027245</v>
      </c>
      <c r="CQ289" s="249">
        <f t="shared" si="380"/>
        <v>1094.7090973521201</v>
      </c>
      <c r="CR289" s="249">
        <f t="shared" si="380"/>
        <v>933.93391614360371</v>
      </c>
      <c r="CS289" s="249">
        <f t="shared" ref="CS289:CY289" si="381">CS42</f>
        <v>866.94403450272239</v>
      </c>
      <c r="CT289" s="247">
        <f t="shared" si="381"/>
        <v>3897.661555901173</v>
      </c>
      <c r="CU289" s="249">
        <f t="shared" si="381"/>
        <v>1050.8112531790393</v>
      </c>
      <c r="CV289" s="249">
        <f t="shared" si="381"/>
        <v>1149.0870991750621</v>
      </c>
      <c r="CW289" s="249">
        <f t="shared" si="381"/>
        <v>976.84843649013305</v>
      </c>
      <c r="CX289" s="249">
        <f t="shared" si="381"/>
        <v>907.00418797038526</v>
      </c>
      <c r="CY289" s="247">
        <f t="shared" si="381"/>
        <v>4083.7509768146192</v>
      </c>
    </row>
    <row r="290" spans="1:103" hidden="1" outlineLevel="1" x14ac:dyDescent="0.2">
      <c r="A290" s="322" t="s">
        <v>13</v>
      </c>
      <c r="AG290" s="46">
        <f t="shared" ref="AG290:BL290" si="382">SUM(AG134:AG138)</f>
        <v>254.60000000000019</v>
      </c>
      <c r="AH290" s="2">
        <f t="shared" si="382"/>
        <v>-66.300000000000011</v>
      </c>
      <c r="AI290" s="2">
        <f t="shared" si="382"/>
        <v>46.699999999999918</v>
      </c>
      <c r="AJ290" s="2">
        <f t="shared" si="382"/>
        <v>56.400000000000034</v>
      </c>
      <c r="AK290" s="2">
        <f t="shared" si="382"/>
        <v>73.683999999999983</v>
      </c>
      <c r="AL290" s="46">
        <f t="shared" si="382"/>
        <v>110.48400000000004</v>
      </c>
      <c r="AM290" s="2">
        <f t="shared" si="382"/>
        <v>68.766800000000003</v>
      </c>
      <c r="AN290" s="2">
        <f t="shared" si="382"/>
        <v>44.7</v>
      </c>
      <c r="AO290" s="2">
        <f t="shared" si="382"/>
        <v>36.800000000000047</v>
      </c>
      <c r="AP290" s="2">
        <f t="shared" si="382"/>
        <v>221.99999999999986</v>
      </c>
      <c r="AQ290" s="159">
        <f t="shared" si="382"/>
        <v>372.2668000000001</v>
      </c>
      <c r="AR290" s="63">
        <f t="shared" si="382"/>
        <v>47.10000000000003</v>
      </c>
      <c r="AS290" s="63">
        <f t="shared" si="382"/>
        <v>62.599999999999945</v>
      </c>
      <c r="AT290" s="63">
        <f t="shared" si="382"/>
        <v>59.099999999999909</v>
      </c>
      <c r="AU290" s="63">
        <f t="shared" si="382"/>
        <v>30.700000000000031</v>
      </c>
      <c r="AV290" s="247">
        <f t="shared" si="382"/>
        <v>199.49999999999977</v>
      </c>
      <c r="AW290" s="63">
        <f t="shared" si="382"/>
        <v>23.300000000000054</v>
      </c>
      <c r="AX290" s="63">
        <f t="shared" si="382"/>
        <v>78.499999999999972</v>
      </c>
      <c r="AY290" s="62">
        <f t="shared" si="382"/>
        <v>132.40000000000003</v>
      </c>
      <c r="AZ290" s="63">
        <f t="shared" si="382"/>
        <v>-48.699999999999989</v>
      </c>
      <c r="BA290" s="247">
        <f t="shared" si="382"/>
        <v>185.49999999999997</v>
      </c>
      <c r="BB290" s="62">
        <f t="shared" si="382"/>
        <v>7.7000000000000455</v>
      </c>
      <c r="BC290" s="63">
        <f t="shared" si="382"/>
        <v>30.500000000000014</v>
      </c>
      <c r="BD290" s="62">
        <f t="shared" si="382"/>
        <v>37.700000000000024</v>
      </c>
      <c r="BE290" s="62">
        <f t="shared" si="382"/>
        <v>99.499999999999943</v>
      </c>
      <c r="BF290" s="247">
        <f t="shared" si="382"/>
        <v>175.39999999999964</v>
      </c>
      <c r="BG290" s="249">
        <f t="shared" si="382"/>
        <v>94.90000000000002</v>
      </c>
      <c r="BH290" s="249">
        <f t="shared" si="382"/>
        <v>79.300000000000267</v>
      </c>
      <c r="BI290" s="249">
        <f t="shared" si="382"/>
        <v>41.599999999999923</v>
      </c>
      <c r="BJ290" s="249">
        <f t="shared" si="382"/>
        <v>77.999999999999872</v>
      </c>
      <c r="BK290" s="247">
        <f t="shared" si="382"/>
        <v>293.80000000000007</v>
      </c>
      <c r="BL290" s="249">
        <f t="shared" si="382"/>
        <v>91.9</v>
      </c>
      <c r="BM290" s="249">
        <f t="shared" ref="BM290:BX290" si="383">SUM(BM134:BM138)</f>
        <v>117.09999999999995</v>
      </c>
      <c r="BN290" s="249">
        <f t="shared" si="383"/>
        <v>130.29999999999978</v>
      </c>
      <c r="BO290" s="249">
        <f t="shared" si="383"/>
        <v>128.70000000000007</v>
      </c>
      <c r="BP290" s="247">
        <f t="shared" si="383"/>
        <v>468.00000000000045</v>
      </c>
      <c r="BQ290" s="249">
        <f t="shared" si="383"/>
        <v>132.00000000000006</v>
      </c>
      <c r="BR290" s="249">
        <f t="shared" si="383"/>
        <v>156.80000000000001</v>
      </c>
      <c r="BS290" s="249">
        <f t="shared" si="383"/>
        <v>40</v>
      </c>
      <c r="BT290" s="249">
        <f t="shared" si="383"/>
        <v>58.699999999999704</v>
      </c>
      <c r="BU290" s="247">
        <f t="shared" si="383"/>
        <v>387.49999999999994</v>
      </c>
      <c r="BV290" s="249">
        <f t="shared" si="383"/>
        <v>109.5</v>
      </c>
      <c r="BW290" s="249">
        <f t="shared" si="383"/>
        <v>117.69999999999979</v>
      </c>
      <c r="BX290" s="249">
        <f t="shared" si="383"/>
        <v>96.4</v>
      </c>
      <c r="BY290" s="249">
        <f t="shared" ref="BY290:CY290" si="384">SUM(BY134:BY138)</f>
        <v>160.30000000000007</v>
      </c>
      <c r="BZ290" s="247">
        <f t="shared" si="384"/>
        <v>483.89999999999975</v>
      </c>
      <c r="CA290" s="249">
        <f t="shared" ca="1" si="384"/>
        <v>161.06172507327722</v>
      </c>
      <c r="CB290" s="249">
        <f t="shared" ca="1" si="384"/>
        <v>166.67392527632151</v>
      </c>
      <c r="CC290" s="249">
        <f t="shared" ca="1" si="384"/>
        <v>159.51514256941948</v>
      </c>
      <c r="CD290" s="249">
        <f t="shared" ca="1" si="384"/>
        <v>160.37309907819912</v>
      </c>
      <c r="CE290" s="247">
        <f t="shared" ca="1" si="384"/>
        <v>647.62389199721736</v>
      </c>
      <c r="CF290" s="249">
        <f t="shared" ca="1" si="384"/>
        <v>159.10188023406067</v>
      </c>
      <c r="CG290" s="249">
        <f t="shared" ca="1" si="384"/>
        <v>160.96753332637167</v>
      </c>
      <c r="CH290" s="249">
        <f t="shared" ca="1" si="384"/>
        <v>154.04024507714908</v>
      </c>
      <c r="CI290" s="249">
        <f t="shared" ca="1" si="384"/>
        <v>155.2600796812809</v>
      </c>
      <c r="CJ290" s="247">
        <f t="shared" ca="1" si="384"/>
        <v>629.36973831886235</v>
      </c>
      <c r="CK290" s="249">
        <f t="shared" ca="1" si="384"/>
        <v>187.11797281531483</v>
      </c>
      <c r="CL290" s="249">
        <f t="shared" ca="1" si="384"/>
        <v>187.03746450722952</v>
      </c>
      <c r="CM290" s="249">
        <f t="shared" ca="1" si="384"/>
        <v>178.51219779398201</v>
      </c>
      <c r="CN290" s="249">
        <f t="shared" ca="1" si="384"/>
        <v>178.79402095941583</v>
      </c>
      <c r="CO290" s="247">
        <f t="shared" ca="1" si="384"/>
        <v>731.4616560759423</v>
      </c>
      <c r="CP290" s="249">
        <f t="shared" ca="1" si="384"/>
        <v>190.47514175434651</v>
      </c>
      <c r="CQ290" s="249">
        <f t="shared" ca="1" si="384"/>
        <v>189.00853221238003</v>
      </c>
      <c r="CR290" s="249">
        <f t="shared" ca="1" si="384"/>
        <v>179.4180221357351</v>
      </c>
      <c r="CS290" s="249">
        <f t="shared" ca="1" si="384"/>
        <v>178.77925331106886</v>
      </c>
      <c r="CT290" s="247">
        <f t="shared" ca="1" si="384"/>
        <v>737.68094941353058</v>
      </c>
      <c r="CU290" s="249">
        <f t="shared" ca="1" si="384"/>
        <v>188.75038050406985</v>
      </c>
      <c r="CV290" s="249">
        <f t="shared" ca="1" si="384"/>
        <v>187.23920015296756</v>
      </c>
      <c r="CW290" s="249">
        <f t="shared" ca="1" si="384"/>
        <v>178.08284568963009</v>
      </c>
      <c r="CX290" s="249">
        <f t="shared" ca="1" si="384"/>
        <v>177.58133513369796</v>
      </c>
      <c r="CY290" s="247">
        <f t="shared" ca="1" si="384"/>
        <v>731.65376148036546</v>
      </c>
    </row>
    <row r="291" spans="1:103" hidden="1" outlineLevel="1" x14ac:dyDescent="0.2">
      <c r="A291" s="322" t="s">
        <v>14</v>
      </c>
      <c r="AG291" s="46">
        <f t="shared" ref="AG291:BL291" si="385">SUM(AG140:AG144)</f>
        <v>-99</v>
      </c>
      <c r="AH291" s="2">
        <f t="shared" si="385"/>
        <v>-61.2</v>
      </c>
      <c r="AI291" s="2">
        <f t="shared" si="385"/>
        <v>-14.499999999999996</v>
      </c>
      <c r="AJ291" s="2">
        <f t="shared" si="385"/>
        <v>-85.499999999999986</v>
      </c>
      <c r="AK291" s="2">
        <f t="shared" si="385"/>
        <v>105.30000000000001</v>
      </c>
      <c r="AL291" s="46">
        <f t="shared" si="385"/>
        <v>-55.899999999999991</v>
      </c>
      <c r="AM291" s="2">
        <f t="shared" si="385"/>
        <v>-92</v>
      </c>
      <c r="AN291" s="2">
        <f t="shared" si="385"/>
        <v>92.200000000000017</v>
      </c>
      <c r="AO291" s="2">
        <f t="shared" si="385"/>
        <v>-115.00000000000003</v>
      </c>
      <c r="AP291" s="2">
        <f t="shared" si="385"/>
        <v>-46.199999999999932</v>
      </c>
      <c r="AQ291" s="159">
        <f t="shared" si="385"/>
        <v>-160.99999999999997</v>
      </c>
      <c r="AR291" s="63">
        <f t="shared" si="385"/>
        <v>110.10000000000001</v>
      </c>
      <c r="AS291" s="63">
        <f t="shared" si="385"/>
        <v>48.699999999999989</v>
      </c>
      <c r="AT291" s="63">
        <f t="shared" si="385"/>
        <v>-36.499999999999957</v>
      </c>
      <c r="AU291" s="63">
        <f t="shared" si="385"/>
        <v>-25.500000000000028</v>
      </c>
      <c r="AV291" s="247">
        <f t="shared" si="385"/>
        <v>96.800000000000011</v>
      </c>
      <c r="AW291" s="63">
        <f t="shared" si="385"/>
        <v>-2.8999999999999986</v>
      </c>
      <c r="AX291" s="63">
        <f t="shared" si="385"/>
        <v>62.599999999999994</v>
      </c>
      <c r="AY291" s="62">
        <f t="shared" si="385"/>
        <v>-230.50000000000003</v>
      </c>
      <c r="AZ291" s="63">
        <f t="shared" si="385"/>
        <v>125.69999999999999</v>
      </c>
      <c r="BA291" s="247">
        <f t="shared" si="385"/>
        <v>-45.099999999999994</v>
      </c>
      <c r="BB291" s="62">
        <f t="shared" si="385"/>
        <v>-78.100000000000009</v>
      </c>
      <c r="BC291" s="63">
        <f t="shared" si="385"/>
        <v>266.5</v>
      </c>
      <c r="BD291" s="62">
        <f t="shared" si="385"/>
        <v>-114.8</v>
      </c>
      <c r="BE291" s="62">
        <f t="shared" si="385"/>
        <v>-64.5</v>
      </c>
      <c r="BF291" s="247">
        <f t="shared" si="385"/>
        <v>9.1000000000000014</v>
      </c>
      <c r="BG291" s="249">
        <f t="shared" si="385"/>
        <v>-77.900000000000006</v>
      </c>
      <c r="BH291" s="249">
        <f t="shared" si="385"/>
        <v>134.59999999999997</v>
      </c>
      <c r="BI291" s="249">
        <f t="shared" si="385"/>
        <v>-207.89999999999998</v>
      </c>
      <c r="BJ291" s="249">
        <f t="shared" si="385"/>
        <v>45.400000000000041</v>
      </c>
      <c r="BK291" s="247">
        <f t="shared" si="385"/>
        <v>-105.80000000000004</v>
      </c>
      <c r="BL291" s="249">
        <f t="shared" si="385"/>
        <v>-142.6</v>
      </c>
      <c r="BM291" s="249">
        <f t="shared" ref="BM291:CR291" si="386">SUM(BM140:BM144)</f>
        <v>162.69999999999999</v>
      </c>
      <c r="BN291" s="249">
        <f t="shared" si="386"/>
        <v>-130.89999999999998</v>
      </c>
      <c r="BO291" s="249">
        <f t="shared" si="386"/>
        <v>-50.00000000000005</v>
      </c>
      <c r="BP291" s="247">
        <f t="shared" si="386"/>
        <v>-160.80000000000001</v>
      </c>
      <c r="BQ291" s="249">
        <f t="shared" si="386"/>
        <v>-103.1</v>
      </c>
      <c r="BR291" s="249">
        <f t="shared" si="386"/>
        <v>177.8</v>
      </c>
      <c r="BS291" s="249">
        <f t="shared" si="386"/>
        <v>-72.5</v>
      </c>
      <c r="BT291" s="249">
        <f t="shared" si="386"/>
        <v>-74.399999999999977</v>
      </c>
      <c r="BU291" s="247">
        <f t="shared" si="386"/>
        <v>-72.199999999999989</v>
      </c>
      <c r="BV291" s="249">
        <f t="shared" si="386"/>
        <v>-198.39999999999998</v>
      </c>
      <c r="BW291" s="249">
        <f t="shared" si="386"/>
        <v>106.49999999999997</v>
      </c>
      <c r="BX291" s="249">
        <f t="shared" si="386"/>
        <v>-133.49999999999997</v>
      </c>
      <c r="BY291" s="249">
        <f t="shared" si="386"/>
        <v>-76.700000000000031</v>
      </c>
      <c r="BZ291" s="247">
        <f t="shared" si="386"/>
        <v>-302.09999999999997</v>
      </c>
      <c r="CA291" s="249">
        <f t="shared" si="386"/>
        <v>-26.975957446503003</v>
      </c>
      <c r="CB291" s="249">
        <f t="shared" si="386"/>
        <v>44.203694879432589</v>
      </c>
      <c r="CC291" s="249">
        <f t="shared" si="386"/>
        <v>-47.352821790980727</v>
      </c>
      <c r="CD291" s="249">
        <f t="shared" si="386"/>
        <v>-78.501972627493274</v>
      </c>
      <c r="CE291" s="247">
        <f t="shared" si="386"/>
        <v>-108.62705698554441</v>
      </c>
      <c r="CF291" s="249">
        <f t="shared" si="386"/>
        <v>14.084351746669824</v>
      </c>
      <c r="CG291" s="249">
        <f t="shared" si="386"/>
        <v>51.117530012412942</v>
      </c>
      <c r="CH291" s="249">
        <f t="shared" si="386"/>
        <v>-46.299457475912732</v>
      </c>
      <c r="CI291" s="249">
        <f t="shared" si="386"/>
        <v>-83.112661782562213</v>
      </c>
      <c r="CJ291" s="247">
        <f t="shared" si="386"/>
        <v>-64.210237499392179</v>
      </c>
      <c r="CK291" s="249">
        <f t="shared" si="386"/>
        <v>-1.8502801106233733</v>
      </c>
      <c r="CL291" s="249">
        <f t="shared" si="386"/>
        <v>56.573175487555375</v>
      </c>
      <c r="CM291" s="249">
        <f t="shared" si="386"/>
        <v>-46.168364359192651</v>
      </c>
      <c r="CN291" s="249">
        <f t="shared" si="386"/>
        <v>-87.159485831035909</v>
      </c>
      <c r="CO291" s="247">
        <f t="shared" si="386"/>
        <v>-78.604954813296558</v>
      </c>
      <c r="CP291" s="249">
        <f t="shared" si="386"/>
        <v>-33.221599444970934</v>
      </c>
      <c r="CQ291" s="249">
        <f t="shared" si="386"/>
        <v>59.170603028533492</v>
      </c>
      <c r="CR291" s="249">
        <f t="shared" si="386"/>
        <v>-42.72713276524712</v>
      </c>
      <c r="CS291" s="249">
        <f t="shared" ref="CS291:CY291" si="387">SUM(CS140:CS144)</f>
        <v>-90.841378098376936</v>
      </c>
      <c r="CT291" s="247">
        <f t="shared" si="387"/>
        <v>-107.6195072800615</v>
      </c>
      <c r="CU291" s="249">
        <f t="shared" si="387"/>
        <v>-30.38869814004795</v>
      </c>
      <c r="CV291" s="249">
        <f t="shared" si="387"/>
        <v>61.621177914560349</v>
      </c>
      <c r="CW291" s="249">
        <f t="shared" si="387"/>
        <v>-39.215661546628439</v>
      </c>
      <c r="CX291" s="249">
        <f t="shared" si="387"/>
        <v>-94.375816753838876</v>
      </c>
      <c r="CY291" s="247">
        <f t="shared" si="387"/>
        <v>-102.35899852595492</v>
      </c>
    </row>
    <row r="292" spans="1:103" hidden="1" outlineLevel="1" x14ac:dyDescent="0.2">
      <c r="A292" s="322" t="s">
        <v>227</v>
      </c>
      <c r="AG292" s="46">
        <f t="shared" ref="AG292:BL292" si="388">AG149</f>
        <v>-128.6</v>
      </c>
      <c r="AH292" s="2">
        <f t="shared" si="388"/>
        <v>-47.1</v>
      </c>
      <c r="AI292" s="2">
        <f t="shared" si="388"/>
        <v>-17.999999999999993</v>
      </c>
      <c r="AJ292" s="2">
        <f t="shared" si="388"/>
        <v>-24.100000000000009</v>
      </c>
      <c r="AK292" s="2">
        <f t="shared" si="388"/>
        <v>-18.5</v>
      </c>
      <c r="AL292" s="46">
        <f t="shared" si="388"/>
        <v>-107.7</v>
      </c>
      <c r="AM292" s="2">
        <f t="shared" si="388"/>
        <v>-25.6</v>
      </c>
      <c r="AN292" s="2">
        <f t="shared" si="388"/>
        <v>-17.600000000000001</v>
      </c>
      <c r="AO292" s="2">
        <f t="shared" si="388"/>
        <v>-26.899999999999991</v>
      </c>
      <c r="AP292" s="2">
        <f t="shared" si="388"/>
        <v>-19</v>
      </c>
      <c r="AQ292" s="159">
        <f t="shared" si="388"/>
        <v>-89.1</v>
      </c>
      <c r="AR292" s="63">
        <f t="shared" si="388"/>
        <v>-21</v>
      </c>
      <c r="AS292" s="63">
        <f t="shared" si="388"/>
        <v>-18.200000000000003</v>
      </c>
      <c r="AT292" s="63">
        <f t="shared" si="388"/>
        <v>-14.899999999999999</v>
      </c>
      <c r="AU292" s="63">
        <f t="shared" si="388"/>
        <v>-14.300000000000004</v>
      </c>
      <c r="AV292" s="247">
        <f t="shared" si="388"/>
        <v>-68.400000000000006</v>
      </c>
      <c r="AW292" s="63">
        <f t="shared" si="388"/>
        <v>-19.600000000000001</v>
      </c>
      <c r="AX292" s="63">
        <f t="shared" si="388"/>
        <v>-16</v>
      </c>
      <c r="AY292" s="62">
        <f t="shared" si="388"/>
        <v>-16.600000000000001</v>
      </c>
      <c r="AZ292" s="63">
        <f t="shared" si="388"/>
        <v>-9.8999999999999986</v>
      </c>
      <c r="BA292" s="247">
        <f t="shared" si="388"/>
        <v>-62.1</v>
      </c>
      <c r="BB292" s="62">
        <f t="shared" si="388"/>
        <v>-22</v>
      </c>
      <c r="BC292" s="63">
        <f t="shared" si="388"/>
        <v>-27.200000000000003</v>
      </c>
      <c r="BD292" s="62">
        <f t="shared" si="388"/>
        <v>-36.700000000000003</v>
      </c>
      <c r="BE292" s="62">
        <f t="shared" si="388"/>
        <v>-137.60000000000002</v>
      </c>
      <c r="BF292" s="247">
        <f t="shared" si="388"/>
        <v>-223.5</v>
      </c>
      <c r="BG292" s="249">
        <f t="shared" si="388"/>
        <v>-131.4</v>
      </c>
      <c r="BH292" s="249">
        <f t="shared" si="388"/>
        <v>-176.79999999999998</v>
      </c>
      <c r="BI292" s="249">
        <f t="shared" si="388"/>
        <v>-233.1</v>
      </c>
      <c r="BJ292" s="249">
        <f t="shared" si="388"/>
        <v>-178.10000000000005</v>
      </c>
      <c r="BK292" s="247">
        <f t="shared" si="388"/>
        <v>-719.4</v>
      </c>
      <c r="BL292" s="249">
        <f t="shared" si="388"/>
        <v>-129.69999999999999</v>
      </c>
      <c r="BM292" s="249">
        <f t="shared" ref="BM292:CR292" si="389">BM149</f>
        <v>-165.10000000000002</v>
      </c>
      <c r="BN292" s="249">
        <f t="shared" si="389"/>
        <v>-218.99999999999994</v>
      </c>
      <c r="BO292" s="249">
        <f t="shared" si="389"/>
        <v>-377.49999999999994</v>
      </c>
      <c r="BP292" s="247">
        <f t="shared" si="389"/>
        <v>-891.3</v>
      </c>
      <c r="BQ292" s="249">
        <f t="shared" si="389"/>
        <v>-169.4</v>
      </c>
      <c r="BR292" s="249">
        <f t="shared" si="389"/>
        <v>-199.20000000000002</v>
      </c>
      <c r="BS292" s="249">
        <f t="shared" si="389"/>
        <v>-222.99999999999997</v>
      </c>
      <c r="BT292" s="249">
        <f t="shared" si="389"/>
        <v>-315.79999999999995</v>
      </c>
      <c r="BU292" s="247">
        <f t="shared" si="389"/>
        <v>-907.4</v>
      </c>
      <c r="BV292" s="249">
        <f t="shared" si="389"/>
        <v>-217.1</v>
      </c>
      <c r="BW292" s="249">
        <f t="shared" si="389"/>
        <v>-288</v>
      </c>
      <c r="BX292" s="249">
        <f t="shared" si="389"/>
        <v>-200.50000000000003</v>
      </c>
      <c r="BY292" s="249">
        <f t="shared" si="389"/>
        <v>-351.99999999999989</v>
      </c>
      <c r="BZ292" s="247">
        <f t="shared" si="389"/>
        <v>-1057.5999999999999</v>
      </c>
      <c r="CA292" s="249">
        <f t="shared" si="389"/>
        <v>-295.06185521062503</v>
      </c>
      <c r="CB292" s="249">
        <f t="shared" si="389"/>
        <v>-321.658461585</v>
      </c>
      <c r="CC292" s="249">
        <f t="shared" si="389"/>
        <v>-281.38575803624997</v>
      </c>
      <c r="CD292" s="249">
        <f t="shared" si="389"/>
        <v>-269.97944678250002</v>
      </c>
      <c r="CE292" s="247">
        <f t="shared" si="389"/>
        <v>-1168.085521614375</v>
      </c>
      <c r="CF292" s="249">
        <f t="shared" si="389"/>
        <v>-226.36875738686382</v>
      </c>
      <c r="CG292" s="249">
        <f t="shared" si="389"/>
        <v>-246.73232787438175</v>
      </c>
      <c r="CH292" s="249">
        <f t="shared" si="389"/>
        <v>-215.00214793711785</v>
      </c>
      <c r="CI292" s="249">
        <f t="shared" si="389"/>
        <v>-206.19753964189931</v>
      </c>
      <c r="CJ292" s="247">
        <f t="shared" si="389"/>
        <v>-894.30077284026265</v>
      </c>
      <c r="CK292" s="249">
        <f t="shared" si="389"/>
        <v>-151.40584202709655</v>
      </c>
      <c r="CL292" s="249">
        <f t="shared" si="389"/>
        <v>-165.0077944869133</v>
      </c>
      <c r="CM292" s="249">
        <f t="shared" si="389"/>
        <v>-143.41740209172676</v>
      </c>
      <c r="CN292" s="249">
        <f t="shared" si="389"/>
        <v>-137.50473456124718</v>
      </c>
      <c r="CO292" s="247">
        <f t="shared" si="389"/>
        <v>-597.3357731669837</v>
      </c>
      <c r="CP292" s="249">
        <f t="shared" si="389"/>
        <v>-91.69434266170714</v>
      </c>
      <c r="CQ292" s="249">
        <f t="shared" si="389"/>
        <v>-99.923342652656146</v>
      </c>
      <c r="CR292" s="249">
        <f t="shared" si="389"/>
        <v>-86.6732414214637</v>
      </c>
      <c r="CS292" s="249">
        <f t="shared" ref="CS292:CY292" si="390">CS149</f>
        <v>-83.081148014095632</v>
      </c>
      <c r="CT292" s="247">
        <f t="shared" si="390"/>
        <v>-361.3720747499226</v>
      </c>
      <c r="CU292" s="249">
        <f t="shared" si="390"/>
        <v>-95.877496564829542</v>
      </c>
      <c r="CV292" s="249">
        <f t="shared" si="390"/>
        <v>-104.47376936909501</v>
      </c>
      <c r="CW292" s="249">
        <f t="shared" si="390"/>
        <v>-90.4541699293395</v>
      </c>
      <c r="CX292" s="249">
        <f t="shared" si="390"/>
        <v>-86.687551063893579</v>
      </c>
      <c r="CY292" s="247">
        <f t="shared" si="390"/>
        <v>-377.49298692715763</v>
      </c>
    </row>
    <row r="293" spans="1:103" hidden="1" outlineLevel="1" x14ac:dyDescent="0.2">
      <c r="A293" s="322" t="s">
        <v>195</v>
      </c>
      <c r="AG293" s="46">
        <f t="shared" ref="AG293:BL293" si="391">AG212</f>
        <v>4420.5</v>
      </c>
      <c r="AH293" s="2">
        <f t="shared" si="391"/>
        <v>4305</v>
      </c>
      <c r="AI293" s="2">
        <f t="shared" si="391"/>
        <v>4144.4000000000005</v>
      </c>
      <c r="AJ293" s="2">
        <f t="shared" si="391"/>
        <v>4046.8999999999996</v>
      </c>
      <c r="AK293" s="2">
        <f t="shared" si="391"/>
        <v>3792</v>
      </c>
      <c r="AL293" s="46">
        <f t="shared" si="391"/>
        <v>3791.9999999999991</v>
      </c>
      <c r="AM293" s="2">
        <f t="shared" si="391"/>
        <v>3996.9</v>
      </c>
      <c r="AN293" s="2">
        <f t="shared" si="391"/>
        <v>3769.4999999999995</v>
      </c>
      <c r="AO293" s="2">
        <f t="shared" si="391"/>
        <v>3710.6</v>
      </c>
      <c r="AP293" s="2">
        <f t="shared" si="391"/>
        <v>3227.1</v>
      </c>
      <c r="AQ293" s="159">
        <f t="shared" si="391"/>
        <v>3227.1</v>
      </c>
      <c r="AR293" s="63">
        <f t="shared" si="391"/>
        <v>2979</v>
      </c>
      <c r="AS293" s="63">
        <f t="shared" si="391"/>
        <v>2936.3999999999996</v>
      </c>
      <c r="AT293" s="63">
        <f t="shared" si="391"/>
        <v>3048.8</v>
      </c>
      <c r="AU293" s="63">
        <f t="shared" si="391"/>
        <v>3043.7</v>
      </c>
      <c r="AV293" s="247">
        <f t="shared" si="391"/>
        <v>3043.7000000000007</v>
      </c>
      <c r="AW293" s="63">
        <f t="shared" si="391"/>
        <v>3351.9</v>
      </c>
      <c r="AX293" s="63">
        <f t="shared" si="391"/>
        <v>3809.2</v>
      </c>
      <c r="AY293" s="62">
        <f t="shared" si="391"/>
        <v>3794.9</v>
      </c>
      <c r="AZ293" s="63">
        <f t="shared" si="391"/>
        <v>2973.9</v>
      </c>
      <c r="BA293" s="247">
        <f t="shared" si="391"/>
        <v>2973.9</v>
      </c>
      <c r="BB293" s="62">
        <f t="shared" si="391"/>
        <v>4462.7</v>
      </c>
      <c r="BC293" s="63">
        <f t="shared" si="391"/>
        <v>7183.7</v>
      </c>
      <c r="BD293" s="62">
        <f t="shared" si="391"/>
        <v>7069.4000000000005</v>
      </c>
      <c r="BE293" s="62">
        <f t="shared" si="391"/>
        <v>6956.6</v>
      </c>
      <c r="BF293" s="247">
        <f t="shared" si="391"/>
        <v>6956.5999999999995</v>
      </c>
      <c r="BG293" s="249">
        <f t="shared" si="391"/>
        <v>6817.2000000000007</v>
      </c>
      <c r="BH293" s="249">
        <f t="shared" si="391"/>
        <v>7087.5999999999995</v>
      </c>
      <c r="BI293" s="249">
        <f t="shared" si="391"/>
        <v>7251.5</v>
      </c>
      <c r="BJ293" s="249">
        <f t="shared" si="391"/>
        <v>7237.9</v>
      </c>
      <c r="BK293" s="247">
        <f t="shared" si="391"/>
        <v>7237.9000000000015</v>
      </c>
      <c r="BL293" s="249">
        <f t="shared" si="391"/>
        <v>7186.9</v>
      </c>
      <c r="BM293" s="249">
        <f t="shared" ref="BM293:BX293" si="392">BM212</f>
        <v>7093.9</v>
      </c>
      <c r="BN293" s="249">
        <f t="shared" si="392"/>
        <v>6911.7</v>
      </c>
      <c r="BO293" s="249">
        <f t="shared" si="392"/>
        <v>7998.0999999999995</v>
      </c>
      <c r="BP293" s="247">
        <f t="shared" si="392"/>
        <v>7998.0999999999985</v>
      </c>
      <c r="BQ293" s="249">
        <f t="shared" si="392"/>
        <v>8140.9000000000005</v>
      </c>
      <c r="BR293" s="249">
        <f t="shared" si="392"/>
        <v>7851.7</v>
      </c>
      <c r="BS293" s="249">
        <f t="shared" si="392"/>
        <v>8434.3000000000011</v>
      </c>
      <c r="BT293" s="249">
        <f t="shared" si="392"/>
        <v>9060.7000000000007</v>
      </c>
      <c r="BU293" s="247">
        <f t="shared" si="392"/>
        <v>9060.7000000000007</v>
      </c>
      <c r="BV293" s="249">
        <f t="shared" si="392"/>
        <v>9012.4</v>
      </c>
      <c r="BW293" s="249">
        <f t="shared" si="392"/>
        <v>8821.7999999999993</v>
      </c>
      <c r="BX293" s="249">
        <f t="shared" si="392"/>
        <v>9195.7000000000007</v>
      </c>
      <c r="BY293" s="249">
        <f t="shared" ref="BY293:CY293" si="393">BY212</f>
        <v>10096.400000000001</v>
      </c>
      <c r="BZ293" s="247">
        <f t="shared" si="393"/>
        <v>10096.400000000003</v>
      </c>
      <c r="CA293" s="249">
        <f t="shared" ca="1" si="393"/>
        <v>10206.229055872425</v>
      </c>
      <c r="CB293" s="249">
        <f t="shared" ca="1" si="393"/>
        <v>10207.959441177112</v>
      </c>
      <c r="CC293" s="249">
        <f t="shared" ca="1" si="393"/>
        <v>10368.387716935535</v>
      </c>
      <c r="CD293" s="249">
        <f t="shared" ca="1" si="393"/>
        <v>10577.865393273534</v>
      </c>
      <c r="CE293" s="247">
        <f t="shared" ca="1" si="393"/>
        <v>10577.865393273534</v>
      </c>
      <c r="CF293" s="249">
        <f t="shared" ca="1" si="393"/>
        <v>10715.309173256379</v>
      </c>
      <c r="CG293" s="249">
        <f t="shared" ca="1" si="393"/>
        <v>10770.144714122895</v>
      </c>
      <c r="CH293" s="249">
        <f t="shared" ca="1" si="393"/>
        <v>11009.674536933018</v>
      </c>
      <c r="CI293" s="249">
        <f t="shared" ca="1" si="393"/>
        <v>11310.355948944898</v>
      </c>
      <c r="CJ293" s="247">
        <f t="shared" ca="1" si="393"/>
        <v>11310.355948944898</v>
      </c>
      <c r="CK293" s="249">
        <f t="shared" ca="1" si="393"/>
        <v>11331.526741935757</v>
      </c>
      <c r="CL293" s="249">
        <f t="shared" ca="1" si="393"/>
        <v>11238.141133451389</v>
      </c>
      <c r="CM293" s="249">
        <f t="shared" ca="1" si="393"/>
        <v>11356.040979591826</v>
      </c>
      <c r="CN293" s="249">
        <f t="shared" ca="1" si="393"/>
        <v>11544.708215758612</v>
      </c>
      <c r="CO293" s="247">
        <f t="shared" ca="1" si="393"/>
        <v>11544.708215758612</v>
      </c>
      <c r="CP293" s="249">
        <f t="shared" ca="1" si="393"/>
        <v>11503.232005899721</v>
      </c>
      <c r="CQ293" s="249">
        <f t="shared" ca="1" si="393"/>
        <v>11303.984726332723</v>
      </c>
      <c r="CR293" s="249">
        <f t="shared" ca="1" si="393"/>
        <v>11333.971252774003</v>
      </c>
      <c r="CS293" s="249">
        <f t="shared" ca="1" si="393"/>
        <v>11446.938879762103</v>
      </c>
      <c r="CT293" s="247">
        <f t="shared" ca="1" si="393"/>
        <v>11446.938879762103</v>
      </c>
      <c r="CU293" s="249">
        <f t="shared" ca="1" si="393"/>
        <v>11384.134279171965</v>
      </c>
      <c r="CV293" s="249">
        <f t="shared" ca="1" si="393"/>
        <v>11159.76110949668</v>
      </c>
      <c r="CW293" s="249">
        <f t="shared" ca="1" si="393"/>
        <v>11171.574144636192</v>
      </c>
      <c r="CX293" s="249">
        <f t="shared" ca="1" si="393"/>
        <v>11275.314726894203</v>
      </c>
      <c r="CY293" s="247">
        <f t="shared" ca="1" si="393"/>
        <v>11275.314726894203</v>
      </c>
    </row>
    <row r="294" spans="1:103" hidden="1" outlineLevel="1" x14ac:dyDescent="0.2">
      <c r="A294" s="322" t="s">
        <v>230</v>
      </c>
      <c r="AG294" s="46">
        <f t="shared" ref="AG294:BL294" si="394">AG78</f>
        <v>219.93</v>
      </c>
      <c r="AH294" s="2">
        <f t="shared" si="394"/>
        <v>219.82</v>
      </c>
      <c r="AI294" s="2">
        <f t="shared" si="394"/>
        <v>220.714</v>
      </c>
      <c r="AJ294" s="2">
        <f t="shared" si="394"/>
        <v>222.20500000000001</v>
      </c>
      <c r="AK294" s="2">
        <f t="shared" si="394"/>
        <v>222.59399999999999</v>
      </c>
      <c r="AL294" s="46">
        <f t="shared" si="394"/>
        <v>221.33325000000002</v>
      </c>
      <c r="AM294" s="2">
        <f t="shared" si="394"/>
        <v>218.85599999999999</v>
      </c>
      <c r="AN294" s="2">
        <f t="shared" si="394"/>
        <v>211.149</v>
      </c>
      <c r="AO294" s="2">
        <f t="shared" si="394"/>
        <v>213.11</v>
      </c>
      <c r="AP294" s="2">
        <f t="shared" si="394"/>
        <v>212.386</v>
      </c>
      <c r="AQ294" s="159">
        <f t="shared" si="394"/>
        <v>213.76499999999999</v>
      </c>
      <c r="AR294" s="63">
        <f t="shared" si="394"/>
        <v>214.91399999999999</v>
      </c>
      <c r="AS294" s="63">
        <f t="shared" si="394"/>
        <v>213.64500000000001</v>
      </c>
      <c r="AT294" s="63">
        <f t="shared" si="394"/>
        <v>202.93299999999999</v>
      </c>
      <c r="AU294" s="63">
        <f t="shared" si="394"/>
        <v>200.96299999999999</v>
      </c>
      <c r="AV294" s="247">
        <f t="shared" si="394"/>
        <v>208.655</v>
      </c>
      <c r="AW294" s="63">
        <f t="shared" si="394"/>
        <v>190.261</v>
      </c>
      <c r="AX294" s="63">
        <f t="shared" si="394"/>
        <v>184.64</v>
      </c>
      <c r="AY294" s="62">
        <f t="shared" si="394"/>
        <v>189.696</v>
      </c>
      <c r="AZ294" s="63">
        <f t="shared" si="394"/>
        <v>191.88900000000001</v>
      </c>
      <c r="BA294" s="247">
        <f t="shared" si="394"/>
        <v>190.30699999999999</v>
      </c>
      <c r="BB294" s="62">
        <f t="shared" si="394"/>
        <v>194.88399999999999</v>
      </c>
      <c r="BC294" s="63">
        <f t="shared" si="394"/>
        <v>196.767</v>
      </c>
      <c r="BD294" s="62">
        <f t="shared" si="394"/>
        <v>198.08199999999999</v>
      </c>
      <c r="BE294" s="62">
        <f t="shared" si="394"/>
        <v>199.161</v>
      </c>
      <c r="BF294" s="247">
        <f t="shared" si="394"/>
        <v>197.57</v>
      </c>
      <c r="BG294" s="249">
        <f t="shared" si="394"/>
        <v>200.358</v>
      </c>
      <c r="BH294" s="249">
        <f t="shared" si="394"/>
        <v>200.8</v>
      </c>
      <c r="BI294" s="249">
        <f t="shared" si="394"/>
        <v>201.27600000000001</v>
      </c>
      <c r="BJ294" s="249">
        <f t="shared" si="394"/>
        <v>202.20599999999999</v>
      </c>
      <c r="BK294" s="247">
        <f t="shared" si="394"/>
        <v>201.16</v>
      </c>
      <c r="BL294" s="249">
        <f t="shared" si="394"/>
        <v>202.85499999999999</v>
      </c>
      <c r="BM294" s="249">
        <f t="shared" ref="BM294:CR294" si="395">BM78</f>
        <v>203.11</v>
      </c>
      <c r="BN294" s="249">
        <f t="shared" si="395"/>
        <v>204.096</v>
      </c>
      <c r="BO294" s="249">
        <f t="shared" si="395"/>
        <v>205.191</v>
      </c>
      <c r="BP294" s="247">
        <f t="shared" si="395"/>
        <v>203.81300000000002</v>
      </c>
      <c r="BQ294" s="249">
        <f t="shared" si="395"/>
        <v>205.36749</v>
      </c>
      <c r="BR294" s="249">
        <f t="shared" si="395"/>
        <v>205.6549</v>
      </c>
      <c r="BS294" s="249">
        <f t="shared" si="395"/>
        <v>205.45549</v>
      </c>
      <c r="BT294" s="249">
        <f t="shared" si="395"/>
        <v>199.86799999999999</v>
      </c>
      <c r="BU294" s="247">
        <f t="shared" si="395"/>
        <v>204.09899999999999</v>
      </c>
      <c r="BV294" s="249">
        <f t="shared" si="395"/>
        <v>201.03</v>
      </c>
      <c r="BW294" s="249">
        <f t="shared" si="395"/>
        <v>201.346</v>
      </c>
      <c r="BX294" s="249">
        <f t="shared" si="395"/>
        <v>201.17699999999999</v>
      </c>
      <c r="BY294" s="249">
        <f t="shared" si="395"/>
        <v>199.494</v>
      </c>
      <c r="BZ294" s="247">
        <f t="shared" si="395"/>
        <v>200.76175000000001</v>
      </c>
      <c r="CA294" s="249">
        <f t="shared" si="395"/>
        <v>197.20884794028649</v>
      </c>
      <c r="CB294" s="249">
        <f t="shared" si="395"/>
        <v>196.22081582383291</v>
      </c>
      <c r="CC294" s="249">
        <f t="shared" si="395"/>
        <v>195.11587696636539</v>
      </c>
      <c r="CD294" s="249">
        <f t="shared" si="395"/>
        <v>194.21728861410631</v>
      </c>
      <c r="CE294" s="247">
        <f t="shared" si="395"/>
        <v>195.69070733614777</v>
      </c>
      <c r="CF294" s="249">
        <f t="shared" si="395"/>
        <v>193.13733789537594</v>
      </c>
      <c r="CG294" s="249">
        <f t="shared" si="395"/>
        <v>191.55465519351048</v>
      </c>
      <c r="CH294" s="249">
        <f t="shared" si="395"/>
        <v>189.86672556603131</v>
      </c>
      <c r="CI294" s="249">
        <f t="shared" si="395"/>
        <v>188.39657763532941</v>
      </c>
      <c r="CJ294" s="247">
        <f t="shared" si="395"/>
        <v>190.73882407256178</v>
      </c>
      <c r="CK294" s="249">
        <f t="shared" si="395"/>
        <v>187.11082033071972</v>
      </c>
      <c r="CL294" s="249">
        <f t="shared" si="395"/>
        <v>185.68091240823327</v>
      </c>
      <c r="CM294" s="249">
        <f t="shared" si="395"/>
        <v>184.14276197622368</v>
      </c>
      <c r="CN294" s="249">
        <f t="shared" si="395"/>
        <v>182.81945639402144</v>
      </c>
      <c r="CO294" s="247">
        <f t="shared" si="395"/>
        <v>184.93848777729954</v>
      </c>
      <c r="CP294" s="249">
        <f t="shared" si="395"/>
        <v>181.67766217617611</v>
      </c>
      <c r="CQ294" s="249">
        <f t="shared" si="395"/>
        <v>180.38889453483119</v>
      </c>
      <c r="CR294" s="249">
        <f t="shared" si="395"/>
        <v>178.98911692747018</v>
      </c>
      <c r="CS294" s="249">
        <f t="shared" ref="CS294:CY294" si="396">CS78</f>
        <v>177.8014709772763</v>
      </c>
      <c r="CT294" s="247">
        <f t="shared" si="396"/>
        <v>179.71428615393845</v>
      </c>
      <c r="CU294" s="249">
        <f t="shared" si="396"/>
        <v>176.79267639865483</v>
      </c>
      <c r="CV294" s="249">
        <f t="shared" si="396"/>
        <v>175.63430056047056</v>
      </c>
      <c r="CW294" s="249">
        <f t="shared" si="396"/>
        <v>174.36235805424747</v>
      </c>
      <c r="CX294" s="249">
        <f t="shared" si="396"/>
        <v>173.30004063458094</v>
      </c>
      <c r="CY294" s="247">
        <f t="shared" si="396"/>
        <v>175.02234391198846</v>
      </c>
    </row>
    <row r="295" spans="1:103" hidden="1" outlineLevel="1" x14ac:dyDescent="0.2">
      <c r="A295" s="323" t="s">
        <v>15</v>
      </c>
      <c r="AG295" s="46">
        <f>SUM(AB92:AB93)</f>
        <v>20.5</v>
      </c>
      <c r="AL295" s="46">
        <f>SUM(AG92:AG93)</f>
        <v>13.1</v>
      </c>
      <c r="AQ295" s="159">
        <f>SUM(AL92:AL93)</f>
        <v>43.5</v>
      </c>
      <c r="AR295" s="63"/>
      <c r="AS295" s="63"/>
      <c r="AT295" s="63"/>
      <c r="AU295" s="63"/>
      <c r="AV295" s="247">
        <f>SUM(AQ92:AQ93)</f>
        <v>9.1999999999999993</v>
      </c>
      <c r="AW295" s="63"/>
      <c r="AX295" s="63"/>
      <c r="AY295" s="62"/>
      <c r="AZ295" s="63"/>
      <c r="BA295" s="247">
        <f>SUM(AV92:AV93)</f>
        <v>85.8</v>
      </c>
      <c r="BB295" s="62"/>
      <c r="BC295" s="63"/>
      <c r="BD295" s="62"/>
      <c r="BE295" s="62"/>
      <c r="BF295" s="247">
        <f>SUM(BA92:BA93)</f>
        <v>331.5</v>
      </c>
      <c r="BG295" s="249"/>
      <c r="BH295" s="249"/>
      <c r="BI295" s="249"/>
      <c r="BJ295" s="249"/>
      <c r="BK295" s="247">
        <f>SUM(BF92:BF93)</f>
        <v>63.9</v>
      </c>
      <c r="BL295" s="249"/>
      <c r="BM295" s="249"/>
      <c r="BN295" s="249"/>
      <c r="BO295" s="249"/>
      <c r="BP295" s="247">
        <f>SUM(BK92:BK93)</f>
        <v>110.1</v>
      </c>
      <c r="BQ295" s="249"/>
      <c r="BR295" s="249"/>
      <c r="BS295" s="249"/>
      <c r="BT295" s="249"/>
      <c r="BU295" s="247">
        <f>SUM(BP92:BP93)</f>
        <v>83.1</v>
      </c>
      <c r="BV295" s="249"/>
      <c r="BW295" s="249"/>
      <c r="BX295" s="249"/>
      <c r="BY295" s="249"/>
      <c r="BZ295" s="247">
        <f>SUM(BU92:BU93)</f>
        <v>177.4</v>
      </c>
      <c r="CA295" s="249"/>
      <c r="CB295" s="249"/>
      <c r="CC295" s="249"/>
      <c r="CD295" s="249"/>
      <c r="CE295" s="247">
        <f>SUM(BZ92:BZ93)</f>
        <v>90.3</v>
      </c>
      <c r="CF295" s="249"/>
      <c r="CG295" s="249"/>
      <c r="CH295" s="249"/>
      <c r="CI295" s="249"/>
      <c r="CJ295" s="247">
        <f ca="1">SUM(CE92:CE93)</f>
        <v>90.3</v>
      </c>
      <c r="CK295" s="249"/>
      <c r="CL295" s="249"/>
      <c r="CM295" s="249"/>
      <c r="CN295" s="249"/>
      <c r="CO295" s="247">
        <f ca="1">SUM(CJ92:CJ93)</f>
        <v>90.3</v>
      </c>
      <c r="CP295" s="249"/>
      <c r="CQ295" s="249"/>
      <c r="CR295" s="249"/>
      <c r="CS295" s="249"/>
      <c r="CT295" s="247">
        <f ca="1">SUM(CO92:CO93)</f>
        <v>90.3</v>
      </c>
      <c r="CU295" s="249"/>
      <c r="CV295" s="249"/>
      <c r="CW295" s="249"/>
      <c r="CX295" s="249"/>
      <c r="CY295" s="247">
        <f ca="1">SUM(CT92:CT93)</f>
        <v>90.3</v>
      </c>
    </row>
    <row r="296" spans="1:103" hidden="1" outlineLevel="1" x14ac:dyDescent="0.2"/>
    <row r="297" spans="1:103" collapsed="1" x14ac:dyDescent="0.2"/>
    <row r="311" spans="59:75" x14ac:dyDescent="0.2">
      <c r="BG311" s="2">
        <v>1550</v>
      </c>
    </row>
    <row r="312" spans="59:75" x14ac:dyDescent="0.2">
      <c r="BG312" s="2">
        <v>1500</v>
      </c>
      <c r="BT312" s="4"/>
      <c r="BU312" s="4"/>
      <c r="BV312" s="4"/>
      <c r="BW312" s="4"/>
    </row>
    <row r="313" spans="59:75" x14ac:dyDescent="0.2">
      <c r="BG313" s="2">
        <v>675</v>
      </c>
      <c r="BV313" s="36"/>
    </row>
    <row r="314" spans="59:75" x14ac:dyDescent="0.2">
      <c r="BG314" s="2">
        <v>208</v>
      </c>
      <c r="BV314" s="383"/>
    </row>
    <row r="315" spans="59:75" x14ac:dyDescent="0.2">
      <c r="BG315" s="2">
        <v>580</v>
      </c>
      <c r="BV315" s="383"/>
    </row>
    <row r="316" spans="59:75" x14ac:dyDescent="0.2">
      <c r="BG316" s="2">
        <v>232</v>
      </c>
      <c r="BV316" s="36"/>
    </row>
    <row r="318" spans="59:75" x14ac:dyDescent="0.2">
      <c r="BT318" s="4"/>
    </row>
    <row r="319" spans="59:75" x14ac:dyDescent="0.2">
      <c r="BV319" s="41"/>
    </row>
    <row r="321" spans="72:75" x14ac:dyDescent="0.2">
      <c r="BT321" s="4"/>
    </row>
    <row r="322" spans="72:75" x14ac:dyDescent="0.2">
      <c r="BT322" s="4"/>
      <c r="BW322" s="50"/>
    </row>
    <row r="323" spans="72:75" x14ac:dyDescent="0.2">
      <c r="BT323" s="4"/>
      <c r="BW323" s="36"/>
    </row>
  </sheetData>
  <mergeCells count="6">
    <mergeCell ref="EC67:ED67"/>
    <mergeCell ref="EA4:ED4"/>
    <mergeCell ref="DZ13:EB13"/>
    <mergeCell ref="EK67:EM67"/>
    <mergeCell ref="DZ22:EA22"/>
    <mergeCell ref="EB22:EC22"/>
  </mergeCells>
  <phoneticPr fontId="3" type="noConversion"/>
  <pageMargins left="0.25" right="0.25" top="0.18" bottom="0.18" header="0.48" footer="0.18"/>
  <pageSetup scale="64" orientation="landscape" r:id="rId1"/>
  <headerFooter alignWithMargins="0"/>
  <rowBreaks count="2" manualBreakCount="2">
    <brk id="129" max="97" man="1"/>
    <brk id="176" max="97" man="1"/>
  </rowBreaks>
  <ignoredErrors>
    <ignoredError sqref="BE81 AV60:BC60 BA182 AV50:BA50 AZ34 AO71 AQ92 AQ120 AB81 AR182 AM81:AQ83 BA117:BA121 BB28:BB32 BC28:BC31 BE191 BA14:BE14 AV182:AV196 AZ14:AZ18 AQ60 BA98 AY18 AQ57:AQ58 AV14:AX18 BF43:BF44 AU14:AU17 BA31 AV34:AV35 AW34:AX34 AY14 AV81:AV87 AW81:AZ81 BB191 AW100 AX83:AZ83 BA81:BA87 BF81:BF85 AV117:AV121 AW117 AV29:AZ32 BB193 BE193 BF190:BF195 AQ182:AQ195 BF39 BD31 AW39:BC39 AW41:BE44 BF41 BB81 BB195 AV39:AV44 BB16:BD18 BB15 BE18 BA103:BA113 BF87 AW28:AZ28 AQ32 AQ34:AQ35 AQ48:AQ52 AQ37:AQ46" formula="1"/>
    <ignoredError sqref="AV68:AV71" formulaRange="1"/>
    <ignoredError sqref="AV72" formula="1" formulaRange="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CZ300"/>
  <sheetViews>
    <sheetView showGridLines="0" zoomScale="85" zoomScaleNormal="85" workbookViewId="0">
      <pane xSplit="3" ySplit="5" topLeftCell="AB6" activePane="bottomRight" state="frozen"/>
      <selection activeCell="BE137" sqref="BE137"/>
      <selection pane="topRight" activeCell="BE137" sqref="BE137"/>
      <selection pane="bottomLeft" activeCell="BE137" sqref="BE137"/>
      <selection pane="bottomRight" activeCell="AB6" sqref="AB6"/>
    </sheetView>
  </sheetViews>
  <sheetFormatPr defaultColWidth="9.140625" defaultRowHeight="12.75" outlineLevelCol="2" x14ac:dyDescent="0.2"/>
  <cols>
    <col min="1" max="1" width="17.85546875" customWidth="1"/>
    <col min="2" max="2" width="8.28515625" customWidth="1"/>
    <col min="3" max="3" width="20.140625" customWidth="1"/>
    <col min="4" max="7" width="8.7109375" hidden="1" customWidth="1" outlineLevel="1"/>
    <col min="8" max="8" width="9.85546875" hidden="1" customWidth="1" collapsed="1"/>
    <col min="9" max="12" width="8.7109375" hidden="1" customWidth="1" outlineLevel="1"/>
    <col min="13" max="13" width="9.85546875" hidden="1" customWidth="1" collapsed="1"/>
    <col min="14" max="17" width="8.7109375" hidden="1" customWidth="1" outlineLevel="1"/>
    <col min="18" max="18" width="9.85546875" hidden="1" customWidth="1" collapsed="1"/>
    <col min="19" max="22" width="8.7109375" hidden="1" customWidth="1" outlineLevel="1"/>
    <col min="23" max="23" width="9.85546875" hidden="1" customWidth="1" collapsed="1"/>
    <col min="24" max="26" width="10.28515625" hidden="1" customWidth="1" outlineLevel="1"/>
    <col min="27" max="27" width="7.140625" hidden="1" customWidth="1" outlineLevel="1"/>
    <col min="28" max="28" width="9.85546875" customWidth="1" collapsed="1"/>
    <col min="29" max="32" width="10.28515625" hidden="1" customWidth="1" outlineLevel="1"/>
    <col min="33" max="33" width="10.28515625" customWidth="1" collapsed="1"/>
    <col min="34" max="37" width="10.28515625" hidden="1" customWidth="1"/>
    <col min="38" max="38" width="10.28515625" customWidth="1" collapsed="1"/>
    <col min="39" max="39" width="10.28515625" hidden="1" customWidth="1" outlineLevel="1"/>
    <col min="40" max="40" width="11.140625" hidden="1" customWidth="1" outlineLevel="1"/>
    <col min="41" max="42" width="10.28515625" hidden="1" customWidth="1" outlineLevel="1"/>
    <col min="43" max="43" width="10.28515625" customWidth="1" collapsed="1"/>
    <col min="44" max="47" width="10.28515625" customWidth="1" outlineLevel="1"/>
    <col min="48" max="48" width="10.28515625" customWidth="1"/>
    <col min="49" max="51" width="10.28515625" customWidth="1" outlineLevel="1"/>
    <col min="52" max="52" width="8.7109375" customWidth="1" outlineLevel="1"/>
    <col min="53" max="53" width="10.28515625" customWidth="1"/>
    <col min="54" max="57" width="10.28515625" hidden="1" customWidth="1" outlineLevel="1"/>
    <col min="58" max="58" width="10.28515625" customWidth="1" collapsed="1"/>
    <col min="59" max="59" width="10.28515625" hidden="1" customWidth="1" outlineLevel="1"/>
    <col min="60" max="60" width="9.7109375" hidden="1" customWidth="1" outlineLevel="1"/>
    <col min="61" max="62" width="10.28515625" hidden="1" customWidth="1" outlineLevel="1"/>
    <col min="63" max="63" width="10.28515625" hidden="1" customWidth="1" outlineLevel="1" collapsed="1"/>
    <col min="64" max="67" width="10.28515625" hidden="1" customWidth="1" outlineLevel="2"/>
    <col min="68" max="68" width="10.28515625" hidden="1" customWidth="1" outlineLevel="1" collapsed="1"/>
    <col min="69" max="72" width="10.28515625" hidden="1" customWidth="1" outlineLevel="2"/>
    <col min="73" max="73" width="10.28515625" hidden="1" customWidth="1" outlineLevel="1" collapsed="1"/>
    <col min="74" max="74" width="8.7109375" style="291" customWidth="1" collapsed="1"/>
    <col min="75" max="75" width="9" style="291" customWidth="1"/>
    <col min="76" max="77" width="10" style="291" customWidth="1"/>
    <col min="78" max="79" width="9.140625" style="291" customWidth="1"/>
    <col min="80" max="80" width="10.28515625" style="291" customWidth="1"/>
    <col min="81" max="81" width="15" style="291" customWidth="1"/>
    <col min="82" max="82" width="8.7109375" style="291" customWidth="1"/>
    <col min="83" max="83" width="9.140625" style="291" customWidth="1"/>
    <col min="84" max="85" width="9.140625" style="291"/>
    <col min="86" max="86" width="8.42578125" style="291" customWidth="1"/>
    <col min="87" max="94" width="9.140625" style="291"/>
    <col min="95" max="95" width="20.5703125" style="291" bestFit="1" customWidth="1"/>
    <col min="96" max="104" width="9.140625" style="291"/>
    <col min="105" max="105" width="10.85546875" style="291" customWidth="1"/>
    <col min="106" max="107" width="9.140625" style="291"/>
    <col min="108" max="108" width="17.85546875" style="291" customWidth="1"/>
    <col min="109" max="16384" width="9.140625" style="291"/>
  </cols>
  <sheetData>
    <row r="1" spans="1:94" s="309" customFormat="1" x14ac:dyDescent="0.2">
      <c r="A1" s="43" t="s">
        <v>34</v>
      </c>
      <c r="B1" s="43"/>
      <c r="C1" s="2"/>
      <c r="D1" s="636"/>
      <c r="H1" s="489"/>
      <c r="I1" s="489"/>
      <c r="J1" s="489"/>
      <c r="K1" s="489"/>
      <c r="L1" s="489"/>
      <c r="M1" s="489"/>
      <c r="N1" s="489"/>
      <c r="O1" s="489"/>
      <c r="P1" s="637"/>
      <c r="Q1" s="489"/>
      <c r="R1" s="489"/>
      <c r="S1" s="489"/>
      <c r="T1" s="489"/>
      <c r="U1" s="489"/>
      <c r="V1" s="489"/>
      <c r="W1" s="489"/>
      <c r="X1" s="489"/>
      <c r="Y1" s="489"/>
      <c r="Z1" s="489"/>
      <c r="AA1" s="489"/>
      <c r="AB1" s="489"/>
      <c r="AC1" s="489"/>
      <c r="AD1" s="489"/>
      <c r="AE1" s="489"/>
      <c r="AF1" s="489"/>
      <c r="AG1" s="640"/>
      <c r="AH1" s="489"/>
      <c r="AI1" s="636"/>
      <c r="AJ1" s="482"/>
      <c r="AK1" s="484"/>
      <c r="AL1" s="640"/>
      <c r="AM1" s="639"/>
      <c r="AN1" s="639"/>
      <c r="AO1" s="639"/>
      <c r="AP1" s="639"/>
      <c r="AQ1" s="640"/>
      <c r="AR1" s="641"/>
      <c r="AS1" s="641"/>
      <c r="AT1" s="641"/>
      <c r="AU1" s="641"/>
      <c r="AV1" s="640"/>
      <c r="AW1" s="641"/>
      <c r="AX1" s="641"/>
      <c r="AY1" s="641"/>
      <c r="AZ1" s="641"/>
      <c r="BA1" s="640"/>
      <c r="BB1" s="641"/>
      <c r="BC1" s="641"/>
      <c r="BD1" s="641"/>
      <c r="BE1" s="641"/>
      <c r="BF1" s="640"/>
      <c r="BG1" s="641"/>
      <c r="BH1" s="641"/>
      <c r="BI1" s="641"/>
      <c r="BJ1" s="641"/>
      <c r="BK1" s="640"/>
      <c r="BL1" s="641"/>
      <c r="BM1" s="641"/>
      <c r="BN1" s="641"/>
      <c r="BO1" s="641"/>
      <c r="BP1" s="640"/>
      <c r="BQ1" s="489"/>
      <c r="BR1" s="489"/>
      <c r="BS1" s="489"/>
      <c r="BT1" s="489"/>
      <c r="BU1" s="640"/>
      <c r="BV1" s="489"/>
      <c r="CF1" s="642"/>
      <c r="CG1" s="642"/>
      <c r="CH1" s="642"/>
      <c r="CI1" s="642"/>
      <c r="CJ1" s="642"/>
      <c r="CK1" s="642"/>
      <c r="CL1" s="642"/>
      <c r="CM1" s="642"/>
    </row>
    <row r="2" spans="1:94" s="309" customFormat="1" x14ac:dyDescent="0.2">
      <c r="A2" s="48"/>
      <c r="B2" s="48"/>
      <c r="C2" s="2"/>
      <c r="H2" s="644"/>
      <c r="M2" s="644"/>
      <c r="Q2" s="643"/>
      <c r="R2" s="644"/>
      <c r="AD2" s="489"/>
      <c r="AF2" s="645"/>
      <c r="AG2" s="646"/>
      <c r="AH2" s="645"/>
      <c r="AJ2" s="489"/>
      <c r="AK2" s="489"/>
      <c r="AL2" s="646"/>
      <c r="AM2" s="646"/>
      <c r="AN2" s="646"/>
      <c r="AO2" s="646"/>
      <c r="AP2" s="646"/>
      <c r="AQ2" s="646"/>
      <c r="AR2" s="641"/>
      <c r="AS2" s="641"/>
      <c r="AT2" s="641"/>
      <c r="AU2" s="641"/>
      <c r="AV2" s="646"/>
      <c r="AW2" s="641"/>
      <c r="AX2" s="641"/>
      <c r="AY2" s="641"/>
      <c r="AZ2" s="641"/>
      <c r="BA2" s="646"/>
      <c r="BB2" s="646"/>
      <c r="BC2" s="646"/>
      <c r="BD2" s="646"/>
      <c r="BE2" s="646"/>
      <c r="BF2" s="646"/>
      <c r="BG2" s="646"/>
      <c r="BH2" s="646"/>
      <c r="BI2" s="646"/>
      <c r="BJ2" s="646"/>
      <c r="BK2" s="646"/>
      <c r="BL2" s="646"/>
      <c r="BM2" s="646"/>
      <c r="BN2" s="646"/>
      <c r="BO2" s="646"/>
      <c r="BP2" s="646"/>
      <c r="BQ2" s="646"/>
      <c r="BR2" s="646"/>
      <c r="BS2" s="646"/>
      <c r="BT2" s="646"/>
      <c r="BU2" s="646"/>
      <c r="BV2" s="638"/>
      <c r="BW2" s="638"/>
      <c r="BX2" s="638"/>
      <c r="BZ2" s="648"/>
      <c r="CA2" s="648"/>
      <c r="CF2" s="642"/>
      <c r="CG2" s="642"/>
      <c r="CH2" s="642"/>
      <c r="CI2" s="642"/>
      <c r="CJ2" s="642"/>
      <c r="CK2" s="642"/>
      <c r="CL2" s="642"/>
      <c r="CM2" s="642"/>
    </row>
    <row r="3" spans="1:94" s="309" customFormat="1" x14ac:dyDescent="0.2">
      <c r="A3" s="715"/>
      <c r="B3" s="715"/>
      <c r="D3" s="649"/>
      <c r="E3" s="649"/>
      <c r="F3" s="650"/>
      <c r="G3" s="649"/>
      <c r="H3" s="490"/>
      <c r="I3" s="490"/>
      <c r="J3" s="490"/>
      <c r="K3" s="490"/>
      <c r="L3" s="490"/>
      <c r="M3" s="490"/>
      <c r="N3" s="490"/>
      <c r="O3" s="490"/>
      <c r="P3" s="490"/>
      <c r="Q3" s="490"/>
      <c r="R3" s="490"/>
      <c r="S3" s="490"/>
      <c r="T3" s="490"/>
      <c r="U3" s="490"/>
      <c r="V3" s="490"/>
      <c r="W3" s="490"/>
      <c r="X3" s="490"/>
      <c r="Y3" s="490"/>
      <c r="Z3" s="490"/>
      <c r="AA3" s="651"/>
      <c r="AB3" s="490"/>
      <c r="AC3" s="490"/>
      <c r="AD3" s="490"/>
      <c r="AE3" s="490"/>
      <c r="AF3" s="645"/>
      <c r="AG3" s="490"/>
      <c r="AH3" s="645"/>
      <c r="AI3" s="490"/>
      <c r="AJ3" s="489"/>
      <c r="AK3" s="489"/>
      <c r="AL3" s="490"/>
      <c r="AM3" s="490"/>
      <c r="AN3" s="490"/>
      <c r="AO3" s="490"/>
      <c r="AP3" s="490"/>
      <c r="AQ3" s="490"/>
      <c r="AR3" s="490"/>
      <c r="AS3" s="490"/>
      <c r="AT3" s="490"/>
      <c r="AU3" s="490"/>
      <c r="AV3" s="490"/>
      <c r="AW3" s="490"/>
      <c r="AX3" s="490"/>
      <c r="AY3" s="490"/>
      <c r="AZ3" s="490"/>
      <c r="BA3" s="490"/>
      <c r="BB3" s="490"/>
      <c r="BC3" s="490"/>
      <c r="BD3" s="490"/>
      <c r="BE3" s="490"/>
      <c r="BF3" s="490"/>
      <c r="BG3" s="490"/>
      <c r="BH3" s="490"/>
      <c r="BI3" s="490"/>
      <c r="BJ3" s="490"/>
      <c r="BK3" s="490"/>
      <c r="BL3" s="490"/>
      <c r="BM3" s="490"/>
      <c r="BN3" s="490"/>
      <c r="BO3" s="490"/>
      <c r="BP3" s="490"/>
      <c r="BQ3" s="490"/>
      <c r="BR3" s="490"/>
      <c r="BS3" s="490"/>
      <c r="BT3" s="490"/>
      <c r="BU3" s="490"/>
      <c r="BV3" s="490"/>
      <c r="BX3" s="650"/>
      <c r="BY3" s="652"/>
      <c r="CC3" s="650"/>
      <c r="CD3" s="650"/>
      <c r="CE3" s="653"/>
      <c r="CF3" s="642"/>
      <c r="CG3" s="642"/>
      <c r="CH3" s="642"/>
      <c r="CI3" s="642"/>
      <c r="CJ3" s="642"/>
      <c r="CK3" s="642"/>
      <c r="CL3" s="642"/>
      <c r="CM3" s="642"/>
    </row>
    <row r="4" spans="1:94" s="309" customFormat="1" x14ac:dyDescent="0.2">
      <c r="D4" s="644"/>
      <c r="E4" s="644"/>
      <c r="F4" s="644"/>
      <c r="G4" s="644"/>
      <c r="H4" s="644"/>
      <c r="I4" s="644"/>
      <c r="J4" s="644"/>
      <c r="K4" s="644"/>
      <c r="L4" s="644"/>
      <c r="M4" s="644"/>
      <c r="N4" s="644"/>
      <c r="O4" s="644"/>
      <c r="P4" s="644"/>
      <c r="Q4" s="644"/>
      <c r="R4" s="644"/>
      <c r="S4" s="484"/>
      <c r="T4" s="484"/>
      <c r="U4" s="484"/>
      <c r="V4" s="484"/>
      <c r="W4" s="484"/>
      <c r="X4" s="484"/>
      <c r="Y4" s="484"/>
      <c r="Z4" s="484"/>
      <c r="AA4" s="484"/>
      <c r="AB4" s="484"/>
      <c r="AC4" s="484"/>
      <c r="AD4" s="484"/>
      <c r="AE4" s="484"/>
      <c r="AF4" s="645"/>
      <c r="AG4" s="488"/>
      <c r="AH4" s="645"/>
      <c r="AI4" s="484"/>
      <c r="AJ4" s="489"/>
      <c r="AK4" s="482"/>
      <c r="AL4" s="488"/>
      <c r="AM4" s="488"/>
      <c r="AN4" s="488"/>
      <c r="AO4" s="488"/>
      <c r="AP4" s="488"/>
      <c r="AQ4" s="488"/>
      <c r="AR4" s="488"/>
      <c r="AS4" s="488"/>
      <c r="AT4" s="488"/>
      <c r="AU4" s="488"/>
      <c r="AV4" s="488"/>
      <c r="AW4" s="488"/>
      <c r="AX4" s="488"/>
      <c r="AY4" s="488"/>
      <c r="AZ4" s="488"/>
      <c r="BA4" s="488"/>
      <c r="BB4" s="488"/>
      <c r="BC4" s="488"/>
      <c r="BD4" s="488"/>
      <c r="BE4" s="488"/>
      <c r="BF4" s="488"/>
      <c r="BG4" s="488"/>
      <c r="BH4" s="488"/>
      <c r="BI4" s="488"/>
      <c r="BJ4" s="488"/>
      <c r="BK4" s="488"/>
      <c r="BL4" s="488"/>
      <c r="BM4" s="488"/>
      <c r="BN4" s="488"/>
      <c r="BO4" s="488"/>
      <c r="BP4" s="488"/>
      <c r="BQ4" s="488"/>
      <c r="BR4" s="488"/>
      <c r="BS4" s="488"/>
      <c r="BT4" s="488"/>
      <c r="BU4" s="488"/>
      <c r="BV4" s="644"/>
      <c r="BX4" s="654"/>
      <c r="BY4" s="654"/>
      <c r="CA4" s="655"/>
      <c r="CC4" s="644"/>
      <c r="CD4" s="644"/>
      <c r="CF4" s="642"/>
      <c r="CG4" s="642"/>
      <c r="CH4" s="642"/>
      <c r="CI4" s="642"/>
      <c r="CJ4" s="642"/>
      <c r="CK4" s="642"/>
      <c r="CL4" s="642"/>
      <c r="CM4" s="642"/>
    </row>
    <row r="5" spans="1:94" s="660" customFormat="1" x14ac:dyDescent="0.2">
      <c r="A5" s="429" t="s">
        <v>261</v>
      </c>
      <c r="B5" s="429"/>
      <c r="C5" s="429"/>
      <c r="D5" s="430">
        <f>'Financial Statements'!AH4</f>
        <v>39961</v>
      </c>
      <c r="E5" s="430">
        <f>'Financial Statements'!AI4</f>
        <v>40051</v>
      </c>
      <c r="F5" s="430">
        <f>'Financial Statements'!AJ4</f>
        <v>40141</v>
      </c>
      <c r="G5" s="430">
        <f>'Financial Statements'!AK4</f>
        <v>40219</v>
      </c>
      <c r="H5" s="431" t="str">
        <f>'Financial Statements'!AL4</f>
        <v>FY2010</v>
      </c>
      <c r="I5" s="430">
        <f>'Financial Statements'!AM4</f>
        <v>40309</v>
      </c>
      <c r="J5" s="430">
        <f>'Financial Statements'!AN4</f>
        <v>40399</v>
      </c>
      <c r="K5" s="430">
        <f>'Financial Statements'!AO4</f>
        <v>40489</v>
      </c>
      <c r="L5" s="430">
        <f>'Financial Statements'!AP4</f>
        <v>40585</v>
      </c>
      <c r="M5" s="431" t="str">
        <f>'Financial Statements'!AQ4</f>
        <v>FY2011</v>
      </c>
      <c r="N5" s="466">
        <f>'Financial Statements'!AR4</f>
        <v>40674</v>
      </c>
      <c r="O5" s="466">
        <f>'Financial Statements'!AS4</f>
        <v>40766</v>
      </c>
      <c r="P5" s="466">
        <f>'Financial Statements'!AT4</f>
        <v>40858</v>
      </c>
      <c r="Q5" s="466">
        <f>'Financial Statements'!AU4</f>
        <v>40951</v>
      </c>
      <c r="R5" s="431" t="str">
        <f>'Financial Statements'!AV4</f>
        <v>FY2012</v>
      </c>
      <c r="S5" s="466">
        <f>'Financial Statements'!AW4</f>
        <v>41041</v>
      </c>
      <c r="T5" s="466">
        <f>'Financial Statements'!AX4</f>
        <v>41133</v>
      </c>
      <c r="U5" s="466">
        <f>'Financial Statements'!AY4</f>
        <v>41225</v>
      </c>
      <c r="V5" s="466">
        <f>'Financial Statements'!AZ4</f>
        <v>41318</v>
      </c>
      <c r="W5" s="431" t="str">
        <f>'Financial Statements'!BA4</f>
        <v>FY2013</v>
      </c>
      <c r="X5" s="58">
        <f>'Financial Statements'!BB4</f>
        <v>41407</v>
      </c>
      <c r="Y5" s="58">
        <f>'Financial Statements'!BC4</f>
        <v>41499</v>
      </c>
      <c r="Z5" s="58">
        <f>'Financial Statements'!BD4</f>
        <v>41591</v>
      </c>
      <c r="AA5" s="58">
        <f>'Financial Statements'!BE4</f>
        <v>41684</v>
      </c>
      <c r="AB5" s="431" t="str">
        <f>'Financial Statements'!BF4</f>
        <v>FY2014</v>
      </c>
      <c r="AC5" s="58">
        <f>'Financial Statements'!BG4</f>
        <v>41773</v>
      </c>
      <c r="AD5" s="58">
        <f>'Financial Statements'!BH4</f>
        <v>41865</v>
      </c>
      <c r="AE5" s="58">
        <f>'Financial Statements'!BI4</f>
        <v>41957</v>
      </c>
      <c r="AF5" s="58">
        <f>'Financial Statements'!BJ4</f>
        <v>42050</v>
      </c>
      <c r="AG5" s="431" t="str">
        <f>'Financial Statements'!BK4</f>
        <v>FY2015</v>
      </c>
      <c r="AH5" s="58">
        <v>42139</v>
      </c>
      <c r="AI5" s="58">
        <v>42231</v>
      </c>
      <c r="AJ5" s="58">
        <v>42323</v>
      </c>
      <c r="AK5" s="58">
        <v>42416</v>
      </c>
      <c r="AL5" s="431" t="s">
        <v>285</v>
      </c>
      <c r="AM5" s="58">
        <v>42506</v>
      </c>
      <c r="AN5" s="58">
        <v>42598</v>
      </c>
      <c r="AO5" s="58">
        <v>42690</v>
      </c>
      <c r="AP5" s="58">
        <v>42783</v>
      </c>
      <c r="AQ5" s="431" t="s">
        <v>289</v>
      </c>
      <c r="AR5" s="58">
        <v>42872</v>
      </c>
      <c r="AS5" s="58">
        <v>42964</v>
      </c>
      <c r="AT5" s="58">
        <v>43056</v>
      </c>
      <c r="AU5" s="58">
        <v>43149</v>
      </c>
      <c r="AV5" s="431" t="s">
        <v>42</v>
      </c>
      <c r="AW5" s="58" t="s">
        <v>43</v>
      </c>
      <c r="AX5" s="58" t="s">
        <v>44</v>
      </c>
      <c r="AY5" s="58" t="s">
        <v>45</v>
      </c>
      <c r="AZ5" s="58" t="s">
        <v>46</v>
      </c>
      <c r="BA5" s="431" t="s">
        <v>47</v>
      </c>
      <c r="BB5" s="58" t="s">
        <v>48</v>
      </c>
      <c r="BC5" s="58" t="s">
        <v>49</v>
      </c>
      <c r="BD5" s="58" t="s">
        <v>50</v>
      </c>
      <c r="BE5" s="58" t="s">
        <v>51</v>
      </c>
      <c r="BF5" s="431" t="s">
        <v>52</v>
      </c>
      <c r="BG5" s="58" t="s">
        <v>53</v>
      </c>
      <c r="BH5" s="58" t="s">
        <v>54</v>
      </c>
      <c r="BI5" s="58" t="s">
        <v>55</v>
      </c>
      <c r="BJ5" s="58" t="s">
        <v>56</v>
      </c>
      <c r="BK5" s="431" t="s">
        <v>57</v>
      </c>
      <c r="BL5" s="58" t="s">
        <v>18</v>
      </c>
      <c r="BM5" s="58" t="s">
        <v>19</v>
      </c>
      <c r="BN5" s="58" t="s">
        <v>23</v>
      </c>
      <c r="BO5" s="58" t="s">
        <v>24</v>
      </c>
      <c r="BP5" s="431" t="s">
        <v>22</v>
      </c>
      <c r="BQ5" s="58" t="s">
        <v>244</v>
      </c>
      <c r="BR5" s="58" t="s">
        <v>245</v>
      </c>
      <c r="BS5" s="58" t="s">
        <v>20</v>
      </c>
      <c r="BT5" s="58" t="s">
        <v>21</v>
      </c>
      <c r="BU5" s="431" t="s">
        <v>246</v>
      </c>
      <c r="BV5" s="466"/>
      <c r="BW5" s="656"/>
      <c r="BX5" s="466"/>
      <c r="BY5" s="466"/>
      <c r="BZ5" s="656"/>
      <c r="CA5" s="656"/>
      <c r="CB5" s="656"/>
      <c r="CC5" s="466"/>
      <c r="CD5" s="466"/>
      <c r="CE5" s="656"/>
      <c r="CF5" s="656"/>
      <c r="CG5" s="657"/>
      <c r="CH5" s="657"/>
      <c r="CI5" s="658"/>
      <c r="CJ5" s="658"/>
      <c r="CK5" s="658"/>
      <c r="CL5" s="658"/>
      <c r="CM5" s="658"/>
      <c r="CN5" s="659"/>
    </row>
    <row r="6" spans="1:94" s="5" customFormat="1" x14ac:dyDescent="0.2">
      <c r="A6" s="302" t="s">
        <v>256</v>
      </c>
      <c r="B6" s="302"/>
      <c r="C6" s="302"/>
      <c r="D6" s="327"/>
      <c r="E6" s="327"/>
      <c r="F6" s="327"/>
      <c r="G6" s="327"/>
      <c r="H6" s="432"/>
      <c r="I6" s="327"/>
      <c r="J6" s="327"/>
      <c r="K6" s="327"/>
      <c r="L6" s="327"/>
      <c r="M6" s="432"/>
      <c r="N6" s="467">
        <f>+N12+N19</f>
        <v>1312.8</v>
      </c>
      <c r="O6" s="467">
        <f>+O12+O19</f>
        <v>1417.2</v>
      </c>
      <c r="P6" s="467">
        <f>+P12+P19</f>
        <v>1241.2</v>
      </c>
      <c r="Q6" s="467">
        <f>+Q12+Q19</f>
        <v>1152.5999999999999</v>
      </c>
      <c r="R6" s="432">
        <f>+N6+O6+P6+Q6</f>
        <v>5123.7999999999993</v>
      </c>
      <c r="S6" s="467">
        <f>+S12+S19</f>
        <v>1358.9</v>
      </c>
      <c r="T6" s="467">
        <f>+T12+T19</f>
        <v>1486.9</v>
      </c>
      <c r="U6" s="467">
        <f>+U12+U19</f>
        <v>1314.3</v>
      </c>
      <c r="V6" s="467">
        <f>+V12+V19</f>
        <v>1224.0999999999999</v>
      </c>
      <c r="W6" s="432">
        <f>+S6+T6+U6+V6</f>
        <v>5384.2000000000007</v>
      </c>
      <c r="X6" s="342">
        <f>+X12+X19</f>
        <v>1435</v>
      </c>
      <c r="Y6" s="342">
        <f>+Y12+Y19</f>
        <v>1511.6</v>
      </c>
      <c r="Z6" s="342">
        <f>+Z12+Z19</f>
        <v>1443.3000000000002</v>
      </c>
      <c r="AA6" s="342">
        <f>+AA12+AA19</f>
        <v>1291.1999999999998</v>
      </c>
      <c r="AB6" s="432">
        <f>+X6+Y6+Z6+AA6</f>
        <v>5681.0999999999995</v>
      </c>
      <c r="AC6" s="55">
        <f>+AC12+AC19</f>
        <v>1526</v>
      </c>
      <c r="AD6" s="55">
        <f>+AD12+AD19</f>
        <v>1607.6</v>
      </c>
      <c r="AE6" s="55">
        <f>+AE12+AE19</f>
        <v>1541.5</v>
      </c>
      <c r="AF6" s="55">
        <f>+AF12+AF19</f>
        <v>1352.9</v>
      </c>
      <c r="AG6" s="437">
        <f>+AC6+AD6+AE6+AF6</f>
        <v>6028</v>
      </c>
      <c r="AH6" s="55">
        <f>+AH12+AH19</f>
        <v>1631.3</v>
      </c>
      <c r="AI6" s="55">
        <f>+AI12+AI19</f>
        <v>1733.4</v>
      </c>
      <c r="AJ6" s="55">
        <f>+AJ12+AJ19</f>
        <v>1640.5</v>
      </c>
      <c r="AK6" s="55">
        <f>+AK12+AK19</f>
        <v>1543.2</v>
      </c>
      <c r="AL6" s="437">
        <f>+AH6+AI6+AJ6+AK6</f>
        <v>6548.4</v>
      </c>
      <c r="AM6" s="55">
        <f>+AM12+AM19</f>
        <v>1871.8</v>
      </c>
      <c r="AN6" s="55">
        <f>+AN12+AN19</f>
        <v>2021.2</v>
      </c>
      <c r="AO6" s="55">
        <f>+AO12+AO19</f>
        <v>1810.5</v>
      </c>
      <c r="AP6" s="55">
        <f>+AP12+AP19</f>
        <v>1628</v>
      </c>
      <c r="AQ6" s="437">
        <f>+AM6+AN6+AO6+AP6</f>
        <v>7331.5</v>
      </c>
      <c r="AR6" s="55">
        <f>+AR12+AR19</f>
        <v>1935.5</v>
      </c>
      <c r="AS6" s="55">
        <f>+AS12+AS19</f>
        <v>2084.5</v>
      </c>
      <c r="AT6" s="55">
        <f>+AT12+AT19</f>
        <v>1799.1</v>
      </c>
      <c r="AU6" s="55">
        <f>+AU12+AU19</f>
        <v>1765.9</v>
      </c>
      <c r="AV6" s="437">
        <f>+AR6+AS6+AT6+AU6</f>
        <v>7585</v>
      </c>
      <c r="AW6" s="55">
        <f>+AW12+AW19</f>
        <v>2070.6095102500003</v>
      </c>
      <c r="AX6" s="55">
        <f>+AX12+AX19</f>
        <v>2257.2523620000002</v>
      </c>
      <c r="AY6" s="55">
        <f>+AY12+AY19</f>
        <v>1974.6368984999999</v>
      </c>
      <c r="AZ6" s="55">
        <f>+AZ12+AZ19</f>
        <v>1894.5926090000003</v>
      </c>
      <c r="BA6" s="437">
        <f>+AW6+AX6+AY6+AZ6</f>
        <v>8197.0913797499998</v>
      </c>
      <c r="BB6" s="55">
        <f>+BB12+BB19</f>
        <v>2208.4756818230617</v>
      </c>
      <c r="BC6" s="55">
        <f>+BC12+BC19</f>
        <v>2407.1446621890905</v>
      </c>
      <c r="BD6" s="55">
        <f>+BD12+BD19</f>
        <v>2097.5819310938327</v>
      </c>
      <c r="BE6" s="55">
        <f>+BE12+BE19</f>
        <v>2011.6833135795055</v>
      </c>
      <c r="BF6" s="437">
        <f>+BB6+BC6+BD6+BE6</f>
        <v>8724.8855886854908</v>
      </c>
      <c r="BG6" s="55">
        <f>+BG12+BG19</f>
        <v>2329.3206465707162</v>
      </c>
      <c r="BH6" s="55">
        <f>+BH12+BH19</f>
        <v>2538.5814536448197</v>
      </c>
      <c r="BI6" s="55">
        <f>+BI12+BI19</f>
        <v>2206.42157064195</v>
      </c>
      <c r="BJ6" s="55">
        <f>+BJ12+BJ19</f>
        <v>2115.4574547884181</v>
      </c>
      <c r="BK6" s="437">
        <f>+BG6+BH6+BI6+BJ6</f>
        <v>9189.7811256459045</v>
      </c>
      <c r="BL6" s="55">
        <f>+BL12+BL19</f>
        <v>2445.1824709788571</v>
      </c>
      <c r="BM6" s="55">
        <f>+BM12+BM19</f>
        <v>2664.6224707374972</v>
      </c>
      <c r="BN6" s="55">
        <f>+BN12+BN19</f>
        <v>2311.2864379056987</v>
      </c>
      <c r="BO6" s="55">
        <f>+BO12+BO19</f>
        <v>2215.4972803758837</v>
      </c>
      <c r="BP6" s="437">
        <f>+BL6+BM6+BN6+BO6</f>
        <v>9636.5886599979385</v>
      </c>
      <c r="BQ6" s="55">
        <f>+BQ12+BQ19</f>
        <v>2556.733241728788</v>
      </c>
      <c r="BR6" s="55">
        <f>+BR12+BR19</f>
        <v>2785.9671831758669</v>
      </c>
      <c r="BS6" s="55">
        <f>+BS12+BS19</f>
        <v>2412.1111981157201</v>
      </c>
      <c r="BT6" s="55">
        <f>+BT12+BT19</f>
        <v>2311.6680283704954</v>
      </c>
      <c r="BU6" s="437">
        <f>+BQ6+BR6+BS6+BT6</f>
        <v>10066.47965139087</v>
      </c>
      <c r="BV6" s="580"/>
      <c r="BW6" s="661"/>
      <c r="BX6" s="467"/>
      <c r="BY6" s="467"/>
      <c r="BZ6" s="662"/>
      <c r="CA6" s="663"/>
      <c r="CB6" s="7"/>
      <c r="CC6" s="467"/>
      <c r="CD6" s="467"/>
      <c r="CE6" s="662"/>
      <c r="CF6" s="7"/>
      <c r="CG6" s="664"/>
      <c r="CH6" s="664"/>
      <c r="CI6" s="664"/>
      <c r="CJ6" s="665"/>
      <c r="CK6" s="665"/>
      <c r="CL6" s="665"/>
      <c r="CM6" s="665"/>
      <c r="CN6" s="9"/>
    </row>
    <row r="7" spans="1:94" s="5" customFormat="1" x14ac:dyDescent="0.2">
      <c r="A7" s="305" t="s">
        <v>211</v>
      </c>
      <c r="B7" s="304"/>
      <c r="C7" s="304"/>
      <c r="D7" s="216"/>
      <c r="E7" s="216"/>
      <c r="F7" s="216"/>
      <c r="G7" s="216"/>
      <c r="H7" s="433"/>
      <c r="I7" s="216"/>
      <c r="J7" s="216"/>
      <c r="K7" s="216"/>
      <c r="L7" s="216"/>
      <c r="M7" s="433"/>
      <c r="N7" s="376"/>
      <c r="O7" s="376"/>
      <c r="P7" s="376"/>
      <c r="Q7" s="376"/>
      <c r="R7" s="433"/>
      <c r="S7" s="468"/>
      <c r="T7" s="468"/>
      <c r="U7" s="468"/>
      <c r="V7" s="468"/>
      <c r="W7" s="434"/>
      <c r="X7" s="336">
        <f>+(X13*S12+X20*S19)/S6</f>
        <v>4.5477960114798779E-2</v>
      </c>
      <c r="Y7" s="336">
        <f>+(Y13*T12+Y20*T19)/T6</f>
        <v>1.371981975923061E-2</v>
      </c>
      <c r="Z7" s="336">
        <f>+(Z13*U12+Z20*U19)/U6</f>
        <v>0.10398615232443127</v>
      </c>
      <c r="AA7" s="336">
        <f>+(AA13*V12+AA20*V19)/V6</f>
        <v>6.0500776080385524E-2</v>
      </c>
      <c r="AB7" s="434"/>
      <c r="AC7" s="336">
        <f>+(AC13*X12+AC20*X19)/X6</f>
        <v>6.8107317073170692E-2</v>
      </c>
      <c r="AD7" s="336">
        <f>+(AD$13*Y$12+AD$20*Y$19)/Y$6</f>
        <v>6.5814368880656157E-2</v>
      </c>
      <c r="AE7" s="336">
        <f t="shared" ref="AE7:AJ7" si="0">+(AE13*Z12+AE20*Z19)/Z6</f>
        <v>7.3454583246726171E-2</v>
      </c>
      <c r="AF7" s="336">
        <f t="shared" si="0"/>
        <v>5.8525402726146258E-2</v>
      </c>
      <c r="AG7" s="455">
        <f t="shared" si="0"/>
        <v>6.6677932090616121E-2</v>
      </c>
      <c r="AH7" s="336">
        <f t="shared" si="0"/>
        <v>8.1945609436435071E-2</v>
      </c>
      <c r="AI7" s="336">
        <f t="shared" si="0"/>
        <v>9.1028365264991404E-2</v>
      </c>
      <c r="AJ7" s="336">
        <f t="shared" si="0"/>
        <v>5.6764190723321381E-2</v>
      </c>
      <c r="AK7" s="336">
        <f>+(AK13*AF12+AK20*AF19)/AF6</f>
        <v>0.10520356271712618</v>
      </c>
      <c r="AL7" s="455">
        <f>+(AL13*AG12+AL20*AG19)/AG6</f>
        <v>8.3148324485733241E-2</v>
      </c>
      <c r="AM7" s="336">
        <f>+(AM13*AH12+AM20*AH19)/AH6</f>
        <v>0.10087353644332737</v>
      </c>
      <c r="AN7" s="336">
        <f t="shared" ref="AN7:BR7" si="1">+(AN13*AI12+AN20*AI19)/AI6</f>
        <v>0.12449521172262605</v>
      </c>
      <c r="AO7" s="336">
        <f t="shared" si="1"/>
        <v>6.8698567509905453E-2</v>
      </c>
      <c r="AP7" s="336">
        <f>+(AP13*AK12+AP20*AK19)/AK6</f>
        <v>7.3337605204136083E-2</v>
      </c>
      <c r="AQ7" s="455">
        <f t="shared" si="1"/>
        <v>9.2576750404835165E-2</v>
      </c>
      <c r="AR7" s="336">
        <f>+(AR13*AM12+AR20*AM19)/AM6</f>
        <v>7.0190463460681321E-2</v>
      </c>
      <c r="AS7" s="336">
        <f>+(AS13*AN12+AS20*AN19)/AN6</f>
        <v>7.3646501393842531E-2</v>
      </c>
      <c r="AT7" s="336">
        <f>+(AT13*AO12+AT20*AO19)/AO6</f>
        <v>4.3014654586309847E-2</v>
      </c>
      <c r="AU7" s="336">
        <f>+(AU13*AP12+AU20*AP19)/AP6</f>
        <v>9.9646552180856426E-2</v>
      </c>
      <c r="AV7" s="455">
        <f>+(AV13*AQ12+AV20*AQ19)/AQ6</f>
        <v>7.0973121080527321E-2</v>
      </c>
      <c r="AW7" s="336">
        <f t="shared" si="1"/>
        <v>6.9805998579178574E-2</v>
      </c>
      <c r="AX7" s="336">
        <f t="shared" si="1"/>
        <v>8.3145522667306362E-2</v>
      </c>
      <c r="AY7" s="336">
        <f t="shared" si="1"/>
        <v>9.7906785892946532E-2</v>
      </c>
      <c r="AZ7" s="336">
        <f t="shared" si="1"/>
        <v>7.292002888045758E-2</v>
      </c>
      <c r="BA7" s="455">
        <f>+(BA13*AV12+BA20*AV19)/AV6</f>
        <v>8.0862218820039619E-2</v>
      </c>
      <c r="BB7" s="336">
        <f t="shared" si="1"/>
        <v>6.6648027109852973E-2</v>
      </c>
      <c r="BC7" s="336">
        <f t="shared" si="1"/>
        <v>6.6471029077204341E-2</v>
      </c>
      <c r="BD7" s="336">
        <f t="shared" si="1"/>
        <v>6.2343583616485648E-2</v>
      </c>
      <c r="BE7" s="336">
        <f t="shared" si="1"/>
        <v>6.1885751861657935E-2</v>
      </c>
      <c r="BF7" s="455">
        <f>+(BF13*BA12+BF20*BA19)/BA6</f>
        <v>6.4461664553458323E-2</v>
      </c>
      <c r="BG7" s="336">
        <f t="shared" si="1"/>
        <v>5.4782087463957657E-2</v>
      </c>
      <c r="BH7" s="336">
        <f t="shared" si="1"/>
        <v>5.4666787725195801E-2</v>
      </c>
      <c r="BI7" s="336">
        <f t="shared" si="1"/>
        <v>5.1967159505075432E-2</v>
      </c>
      <c r="BJ7" s="336">
        <f t="shared" si="1"/>
        <v>5.1666408679889426E-2</v>
      </c>
      <c r="BK7" s="455">
        <f t="shared" si="1"/>
        <v>5.3355152512383798E-2</v>
      </c>
      <c r="BL7" s="336">
        <f t="shared" si="1"/>
        <v>4.9802489018164205E-2</v>
      </c>
      <c r="BM7" s="336">
        <f t="shared" si="1"/>
        <v>4.971269051539149E-2</v>
      </c>
      <c r="BN7" s="336">
        <f t="shared" si="1"/>
        <v>4.7604490437604272E-2</v>
      </c>
      <c r="BO7" s="336">
        <f t="shared" si="1"/>
        <v>4.7368953554605055E-2</v>
      </c>
      <c r="BP7" s="455">
        <f t="shared" si="1"/>
        <v>4.8689762513347563E-2</v>
      </c>
      <c r="BQ7" s="336">
        <f t="shared" si="1"/>
        <v>4.5673760389483585E-2</v>
      </c>
      <c r="BR7" s="336">
        <f t="shared" si="1"/>
        <v>4.5592852082532546E-2</v>
      </c>
      <c r="BS7" s="336">
        <f>+(BS13*BN12+BS20*BN19)/BN6</f>
        <v>4.3689353472398544E-2</v>
      </c>
      <c r="BT7" s="336">
        <f>+(BT13*BO12+BT20*BO19)/BO6</f>
        <v>4.3476207407180334E-2</v>
      </c>
      <c r="BU7" s="455">
        <f>+(BU13*BP12+BU20*BP19)/BP6</f>
        <v>4.4670210701466401E-2</v>
      </c>
      <c r="BV7" s="666"/>
      <c r="BW7" s="7"/>
      <c r="BX7" s="471"/>
      <c r="BY7" s="471"/>
      <c r="BZ7" s="667"/>
      <c r="CA7" s="7"/>
      <c r="CB7" s="7"/>
      <c r="CC7" s="471"/>
      <c r="CD7" s="471"/>
      <c r="CE7" s="667"/>
      <c r="CF7" s="7"/>
      <c r="CG7" s="668"/>
      <c r="CH7" s="668"/>
      <c r="CI7" s="668"/>
      <c r="CJ7" s="665"/>
      <c r="CK7" s="665"/>
      <c r="CL7" s="665"/>
      <c r="CM7" s="665"/>
      <c r="CN7" s="9"/>
    </row>
    <row r="8" spans="1:94" s="5" customFormat="1" hidden="1" x14ac:dyDescent="0.2">
      <c r="A8" s="305" t="s">
        <v>257</v>
      </c>
      <c r="B8" s="304"/>
      <c r="C8" s="304"/>
      <c r="D8" s="216"/>
      <c r="E8" s="216"/>
      <c r="F8" s="216"/>
      <c r="G8" s="216"/>
      <c r="H8" s="433"/>
      <c r="I8" s="216"/>
      <c r="J8" s="216"/>
      <c r="K8" s="216"/>
      <c r="L8" s="216"/>
      <c r="M8" s="433"/>
      <c r="N8" s="376"/>
      <c r="O8" s="376"/>
      <c r="P8" s="376"/>
      <c r="Q8" s="376"/>
      <c r="R8" s="433"/>
      <c r="S8" s="468"/>
      <c r="T8" s="468"/>
      <c r="U8" s="468"/>
      <c r="V8" s="468"/>
      <c r="W8" s="434"/>
      <c r="X8" s="343"/>
      <c r="Y8" s="343"/>
      <c r="Z8" s="343"/>
      <c r="AA8" s="343"/>
      <c r="AB8" s="434"/>
      <c r="AC8" s="533">
        <f>+AVERAGE(AC7,X7)</f>
        <v>5.6792638593984736E-2</v>
      </c>
      <c r="AD8" s="533">
        <f>+AVERAGE(AD7,Y7)</f>
        <v>3.976709431994338E-2</v>
      </c>
      <c r="AE8" s="533">
        <f>+AVERAGE(AE7,Z7)</f>
        <v>8.8720367785578721E-2</v>
      </c>
      <c r="AF8" s="533">
        <f>+AVERAGE(AF7,AA7)</f>
        <v>5.9513089403265891E-2</v>
      </c>
      <c r="AG8" s="433"/>
      <c r="AH8" s="533">
        <f>+AVERAGE(AH7,AC7)</f>
        <v>7.5026463254802889E-2</v>
      </c>
      <c r="AI8" s="533">
        <f>+AVERAGE(AI7,AD7)</f>
        <v>7.842136707282378E-2</v>
      </c>
      <c r="AJ8" s="533">
        <f>+AVERAGE(AJ7,AE7)</f>
        <v>6.5109386985023776E-2</v>
      </c>
      <c r="AK8" s="533">
        <f>+AVERAGE(AK7,AF7)</f>
        <v>8.1864482721636211E-2</v>
      </c>
      <c r="AL8" s="433"/>
      <c r="AM8" s="216"/>
      <c r="AN8" s="216"/>
      <c r="AO8" s="216"/>
      <c r="AP8" s="216"/>
      <c r="AQ8" s="433"/>
      <c r="AR8" s="216"/>
      <c r="AS8" s="216"/>
      <c r="AT8" s="216"/>
      <c r="AU8" s="216"/>
      <c r="AV8" s="433"/>
      <c r="AW8" s="216"/>
      <c r="AX8" s="216"/>
      <c r="AY8" s="216"/>
      <c r="AZ8" s="216"/>
      <c r="BA8" s="433"/>
      <c r="BB8" s="216"/>
      <c r="BC8" s="216"/>
      <c r="BD8" s="216"/>
      <c r="BE8" s="216"/>
      <c r="BF8" s="433"/>
      <c r="BG8" s="216"/>
      <c r="BH8" s="216"/>
      <c r="BI8" s="216"/>
      <c r="BJ8" s="216"/>
      <c r="BK8" s="433"/>
      <c r="BL8" s="216"/>
      <c r="BM8" s="216"/>
      <c r="BN8" s="216"/>
      <c r="BO8" s="216"/>
      <c r="BP8" s="433"/>
      <c r="BQ8" s="216"/>
      <c r="BR8" s="216"/>
      <c r="BS8" s="216"/>
      <c r="BT8" s="216"/>
      <c r="BU8" s="433"/>
      <c r="BV8" s="376"/>
      <c r="BW8" s="7"/>
      <c r="BX8" s="471"/>
      <c r="BY8" s="471"/>
      <c r="BZ8" s="7"/>
      <c r="CA8" s="7"/>
      <c r="CB8" s="7"/>
      <c r="CC8" s="468"/>
      <c r="CD8" s="468"/>
      <c r="CE8" s="7"/>
      <c r="CF8" s="7"/>
      <c r="CG8" s="564"/>
      <c r="CH8" s="564"/>
      <c r="CI8" s="665"/>
      <c r="CJ8" s="665"/>
      <c r="CK8" s="665"/>
      <c r="CL8" s="665"/>
      <c r="CM8" s="665"/>
      <c r="CN8" s="9"/>
    </row>
    <row r="9" spans="1:94" s="5" customFormat="1" x14ac:dyDescent="0.2">
      <c r="A9" s="305" t="s">
        <v>219</v>
      </c>
      <c r="B9" s="304"/>
      <c r="C9" s="304"/>
      <c r="D9" s="216"/>
      <c r="E9" s="216"/>
      <c r="F9" s="216"/>
      <c r="G9" s="216"/>
      <c r="H9" s="433"/>
      <c r="I9" s="216"/>
      <c r="J9" s="216"/>
      <c r="K9" s="216"/>
      <c r="L9" s="216"/>
      <c r="M9" s="433"/>
      <c r="N9" s="376"/>
      <c r="O9" s="376"/>
      <c r="P9" s="376"/>
      <c r="Q9" s="376"/>
      <c r="R9" s="433"/>
      <c r="S9" s="468"/>
      <c r="T9" s="468"/>
      <c r="U9" s="468"/>
      <c r="V9" s="468"/>
      <c r="W9" s="434"/>
      <c r="X9" s="343"/>
      <c r="Y9" s="343"/>
      <c r="Z9" s="343"/>
      <c r="AA9" s="343"/>
      <c r="AB9" s="434"/>
      <c r="AC9" s="336">
        <f t="shared" ref="AC9:AF10" si="2">+(AC16*X$12+AC23*X$19)/X$6</f>
        <v>-4.6926829268292688E-3</v>
      </c>
      <c r="AD9" s="336">
        <f t="shared" si="2"/>
        <v>-2.3055041016141835E-3</v>
      </c>
      <c r="AE9" s="336">
        <f t="shared" si="2"/>
        <v>-5.4160604170997023E-3</v>
      </c>
      <c r="AF9" s="336">
        <f t="shared" si="2"/>
        <v>-1.0740396530359358E-2</v>
      </c>
      <c r="AG9" s="455">
        <f>SUMPRODUCT(AC$9:AF$9,X$6:AA$6)/AB$6</f>
        <v>-5.6158138388692344E-3</v>
      </c>
      <c r="AH9" s="336">
        <f t="shared" ref="AH9:AJ10" si="3">+(AH16*AC$12+AH23*AC$19)/AC$6</f>
        <v>-1.2941677588466578E-2</v>
      </c>
      <c r="AI9" s="336">
        <f t="shared" si="3"/>
        <v>-1.5138840507588952E-2</v>
      </c>
      <c r="AJ9" s="336">
        <f t="shared" ref="AJ9:AO9" si="4">+(AJ16*AE$12+AJ23*AE$19)/AE$6</f>
        <v>-1.505157314304249E-2</v>
      </c>
      <c r="AK9" s="336">
        <f t="shared" si="4"/>
        <v>-1.0739818168379036E-2</v>
      </c>
      <c r="AL9" s="455">
        <f t="shared" si="4"/>
        <v>-1.3573009289980091E-2</v>
      </c>
      <c r="AM9" s="336">
        <f t="shared" si="4"/>
        <v>-4.0795684423465947E-3</v>
      </c>
      <c r="AN9" s="336">
        <f t="shared" si="4"/>
        <v>0</v>
      </c>
      <c r="AO9" s="336">
        <f t="shared" si="4"/>
        <v>0</v>
      </c>
      <c r="AP9" s="336">
        <f>+(AP16*AK$12+AP23*AK$19)/AK$6</f>
        <v>0</v>
      </c>
      <c r="AQ9" s="455">
        <f>+(AQ16*AL$12+AQ23*AL$19)/AL$6</f>
        <v>-1.0162787856575653E-3</v>
      </c>
      <c r="AR9" s="336">
        <v>-2.2401314471904831E-4</v>
      </c>
      <c r="AS9" s="336">
        <v>-6.5171428835606587E-4</v>
      </c>
      <c r="AT9" s="336">
        <v>-1.3159223508786642E-4</v>
      </c>
      <c r="AU9" s="336">
        <v>3.0572464224819852E-6</v>
      </c>
      <c r="AV9" s="455">
        <f>+(AV16*AQ$12+AV23*AQ$19)/AQ$6</f>
        <v>-3.1817574091356685E-5</v>
      </c>
      <c r="AW9" s="336">
        <f t="shared" ref="AW9:BU9" si="5">+(AW16*AR$12+AW23*AR$19)/AR$6</f>
        <v>0</v>
      </c>
      <c r="AX9" s="336">
        <f t="shared" si="5"/>
        <v>0</v>
      </c>
      <c r="AY9" s="336">
        <f t="shared" si="5"/>
        <v>0</v>
      </c>
      <c r="AZ9" s="336">
        <f t="shared" si="5"/>
        <v>0</v>
      </c>
      <c r="BA9" s="455">
        <f t="shared" si="5"/>
        <v>0</v>
      </c>
      <c r="BB9" s="336">
        <f t="shared" si="5"/>
        <v>0</v>
      </c>
      <c r="BC9" s="336">
        <f t="shared" si="5"/>
        <v>0</v>
      </c>
      <c r="BD9" s="336">
        <f t="shared" si="5"/>
        <v>0</v>
      </c>
      <c r="BE9" s="336">
        <f t="shared" si="5"/>
        <v>0</v>
      </c>
      <c r="BF9" s="455">
        <f t="shared" si="5"/>
        <v>0</v>
      </c>
      <c r="BG9" s="336">
        <f t="shared" si="5"/>
        <v>0</v>
      </c>
      <c r="BH9" s="336">
        <f t="shared" si="5"/>
        <v>0</v>
      </c>
      <c r="BI9" s="336">
        <f t="shared" si="5"/>
        <v>0</v>
      </c>
      <c r="BJ9" s="336">
        <f t="shared" si="5"/>
        <v>0</v>
      </c>
      <c r="BK9" s="455">
        <f t="shared" si="5"/>
        <v>0</v>
      </c>
      <c r="BL9" s="336">
        <f t="shared" si="5"/>
        <v>0</v>
      </c>
      <c r="BM9" s="336">
        <f t="shared" si="5"/>
        <v>0</v>
      </c>
      <c r="BN9" s="336">
        <f t="shared" si="5"/>
        <v>0</v>
      </c>
      <c r="BO9" s="336">
        <f t="shared" si="5"/>
        <v>0</v>
      </c>
      <c r="BP9" s="455">
        <f t="shared" si="5"/>
        <v>0</v>
      </c>
      <c r="BQ9" s="336">
        <f t="shared" si="5"/>
        <v>0</v>
      </c>
      <c r="BR9" s="336">
        <f t="shared" si="5"/>
        <v>0</v>
      </c>
      <c r="BS9" s="336">
        <f t="shared" si="5"/>
        <v>0</v>
      </c>
      <c r="BT9" s="336">
        <f t="shared" si="5"/>
        <v>0</v>
      </c>
      <c r="BU9" s="455">
        <f t="shared" si="5"/>
        <v>0</v>
      </c>
      <c r="BV9" s="376"/>
      <c r="BW9" s="7"/>
      <c r="BX9" s="471"/>
      <c r="BY9" s="471"/>
      <c r="BZ9" s="7"/>
      <c r="CA9" s="7"/>
      <c r="CB9" s="7"/>
      <c r="CC9" s="468"/>
      <c r="CD9" s="468"/>
      <c r="CE9" s="7"/>
      <c r="CF9" s="7"/>
      <c r="CG9" s="564"/>
      <c r="CH9" s="564"/>
      <c r="CI9" s="665"/>
      <c r="CJ9" s="665"/>
      <c r="CK9" s="665"/>
      <c r="CL9" s="665"/>
      <c r="CM9" s="665"/>
      <c r="CN9" s="9"/>
    </row>
    <row r="10" spans="1:94" s="5" customFormat="1" x14ac:dyDescent="0.2">
      <c r="A10" s="305" t="s">
        <v>258</v>
      </c>
      <c r="B10" s="304"/>
      <c r="C10" s="304"/>
      <c r="D10" s="216"/>
      <c r="E10" s="216"/>
      <c r="F10" s="216"/>
      <c r="G10" s="216"/>
      <c r="H10" s="433"/>
      <c r="I10" s="216"/>
      <c r="J10" s="216"/>
      <c r="K10" s="216"/>
      <c r="L10" s="216"/>
      <c r="M10" s="433"/>
      <c r="N10" s="376"/>
      <c r="O10" s="376"/>
      <c r="P10" s="376"/>
      <c r="Q10" s="376"/>
      <c r="R10" s="433"/>
      <c r="S10" s="468"/>
      <c r="T10" s="468"/>
      <c r="U10" s="468"/>
      <c r="V10" s="468"/>
      <c r="W10" s="434"/>
      <c r="X10" s="343"/>
      <c r="Y10" s="343"/>
      <c r="Z10" s="343"/>
      <c r="AA10" s="343"/>
      <c r="AB10" s="434"/>
      <c r="AC10" s="336">
        <f t="shared" si="2"/>
        <v>0</v>
      </c>
      <c r="AD10" s="336">
        <f t="shared" si="2"/>
        <v>0</v>
      </c>
      <c r="AE10" s="336">
        <f t="shared" si="2"/>
        <v>0</v>
      </c>
      <c r="AF10" s="336">
        <f t="shared" si="2"/>
        <v>0</v>
      </c>
      <c r="AG10" s="455">
        <f>+(AG17*AB$12+AG24*AB$19)/AB$6</f>
        <v>0</v>
      </c>
      <c r="AH10" s="336">
        <f t="shared" si="3"/>
        <v>0</v>
      </c>
      <c r="AI10" s="336">
        <f t="shared" si="3"/>
        <v>2.363772082607614E-3</v>
      </c>
      <c r="AJ10" s="336">
        <f t="shared" si="3"/>
        <v>2.2510541680181642E-2</v>
      </c>
      <c r="AK10" s="336">
        <f>+(AK17*AF$12+AK24*AF$19)/AF$6</f>
        <v>4.6197058171335646E-2</v>
      </c>
      <c r="AL10" s="455">
        <f>+(AL17*AG$12+AL24*AG$19)/AG$6</f>
        <v>1.6755142667551428E-2</v>
      </c>
      <c r="AM10" s="336">
        <f>+(AM17*AH$12+AM24*AH$19)/AH$6</f>
        <v>5.0634463311469376E-2</v>
      </c>
      <c r="AN10" s="336">
        <f>+(AN17*AI$12+AN24*AI$19)/AI$6</f>
        <v>4.1536863966770504E-2</v>
      </c>
      <c r="AO10" s="336">
        <f>+(AO17*AJ$12+AO24*AJ$19)/AJ$6</f>
        <v>3.4928375495275832E-2</v>
      </c>
      <c r="AP10" s="336">
        <f>+(AP17*AK$12+AP24*AK$19)/AK$6</f>
        <v>-1.6588906168999485E-2</v>
      </c>
      <c r="AQ10" s="455">
        <f>+(AQ17*AL$12+AQ24*AL$19)/AL$6</f>
        <v>2.8449697636063774E-2</v>
      </c>
      <c r="AR10" s="336">
        <f>+(AR17*AM$12+AR24*AM$19)/AM$6</f>
        <v>-3.3497168500908218E-2</v>
      </c>
      <c r="AS10" s="336">
        <f>+(AS17*AN$12+AS24*AN$19)/AN$6</f>
        <v>-4.2796358598852169E-2</v>
      </c>
      <c r="AT10" s="336">
        <f>+(AT17*AO$12+AT24*AO$19)/AO$6</f>
        <v>-4.9157691245512287E-2</v>
      </c>
      <c r="AU10" s="336">
        <f>+(AU17*AP$12+AU24*AP$19)/AP$6</f>
        <v>-1.3882063882063884E-2</v>
      </c>
      <c r="AV10" s="455">
        <f>+(AV17*AQ$12+AV24*AQ$19)/AQ$6</f>
        <v>-3.557252949601037E-2</v>
      </c>
      <c r="AW10" s="336">
        <f t="shared" ref="AW10:BU10" si="6">+(AW17*AR$12+AW24*AR$19)/AR$6</f>
        <v>0</v>
      </c>
      <c r="AX10" s="336">
        <f t="shared" si="6"/>
        <v>0</v>
      </c>
      <c r="AY10" s="336">
        <f t="shared" si="6"/>
        <v>0</v>
      </c>
      <c r="AZ10" s="336">
        <f t="shared" si="6"/>
        <v>0</v>
      </c>
      <c r="BA10" s="455">
        <f t="shared" si="6"/>
        <v>0</v>
      </c>
      <c r="BB10" s="336">
        <f t="shared" si="6"/>
        <v>0</v>
      </c>
      <c r="BC10" s="336">
        <f t="shared" si="6"/>
        <v>0</v>
      </c>
      <c r="BD10" s="336">
        <f t="shared" si="6"/>
        <v>0</v>
      </c>
      <c r="BE10" s="336">
        <f t="shared" si="6"/>
        <v>0</v>
      </c>
      <c r="BF10" s="455">
        <f t="shared" si="6"/>
        <v>0</v>
      </c>
      <c r="BG10" s="336">
        <f t="shared" si="6"/>
        <v>0</v>
      </c>
      <c r="BH10" s="336">
        <f t="shared" si="6"/>
        <v>0</v>
      </c>
      <c r="BI10" s="336">
        <f t="shared" si="6"/>
        <v>0</v>
      </c>
      <c r="BJ10" s="336">
        <f t="shared" si="6"/>
        <v>0</v>
      </c>
      <c r="BK10" s="455">
        <f t="shared" si="6"/>
        <v>0</v>
      </c>
      <c r="BL10" s="336">
        <f t="shared" si="6"/>
        <v>0</v>
      </c>
      <c r="BM10" s="336">
        <f t="shared" si="6"/>
        <v>0</v>
      </c>
      <c r="BN10" s="336">
        <f t="shared" si="6"/>
        <v>0</v>
      </c>
      <c r="BO10" s="336">
        <f t="shared" si="6"/>
        <v>0</v>
      </c>
      <c r="BP10" s="455">
        <f t="shared" si="6"/>
        <v>0</v>
      </c>
      <c r="BQ10" s="336">
        <f t="shared" si="6"/>
        <v>0</v>
      </c>
      <c r="BR10" s="336">
        <f t="shared" si="6"/>
        <v>0</v>
      </c>
      <c r="BS10" s="336">
        <f t="shared" si="6"/>
        <v>0</v>
      </c>
      <c r="BT10" s="336">
        <f t="shared" si="6"/>
        <v>0</v>
      </c>
      <c r="BU10" s="455">
        <f t="shared" si="6"/>
        <v>0</v>
      </c>
      <c r="BV10" s="580"/>
      <c r="BW10" s="7"/>
      <c r="BX10" s="471"/>
      <c r="BY10" s="471"/>
      <c r="BZ10" s="7"/>
      <c r="CA10" s="7"/>
      <c r="CB10" s="7"/>
      <c r="CC10" s="468"/>
      <c r="CD10" s="468"/>
      <c r="CE10" s="7"/>
      <c r="CF10" s="7"/>
      <c r="CG10" s="564"/>
      <c r="CH10" s="564"/>
      <c r="CI10" s="665"/>
      <c r="CJ10" s="665"/>
      <c r="CK10" s="665"/>
      <c r="CL10" s="665"/>
      <c r="CM10" s="665"/>
      <c r="CN10" s="9"/>
    </row>
    <row r="11" spans="1:94" s="5" customFormat="1" x14ac:dyDescent="0.2">
      <c r="A11" s="329" t="s">
        <v>259</v>
      </c>
      <c r="B11" s="292"/>
      <c r="C11" s="292"/>
      <c r="D11" s="328"/>
      <c r="E11" s="328"/>
      <c r="F11" s="328"/>
      <c r="G11" s="328"/>
      <c r="H11" s="435"/>
      <c r="I11" s="328"/>
      <c r="J11" s="328"/>
      <c r="K11" s="328"/>
      <c r="L11" s="328"/>
      <c r="M11" s="435"/>
      <c r="N11" s="487"/>
      <c r="O11" s="487"/>
      <c r="P11" s="487"/>
      <c r="Q11" s="487"/>
      <c r="R11" s="435"/>
      <c r="S11" s="469"/>
      <c r="T11" s="469"/>
      <c r="U11" s="469"/>
      <c r="V11" s="469"/>
      <c r="W11" s="436"/>
      <c r="X11" s="335">
        <f>+X6/S6-1</f>
        <v>5.6001177422915438E-2</v>
      </c>
      <c r="Y11" s="335">
        <f t="shared" ref="Y11:BU11" si="7">+Y6/T6-1</f>
        <v>1.6611742551617237E-2</v>
      </c>
      <c r="Z11" s="335">
        <f t="shared" si="7"/>
        <v>9.8151107053184417E-2</v>
      </c>
      <c r="AA11" s="335">
        <f t="shared" si="7"/>
        <v>5.4815783024262599E-2</v>
      </c>
      <c r="AB11" s="441">
        <f>+AB6/W6-1</f>
        <v>5.5142825303666099E-2</v>
      </c>
      <c r="AC11" s="335">
        <f t="shared" si="7"/>
        <v>6.341463414634152E-2</v>
      </c>
      <c r="AD11" s="335">
        <f t="shared" ref="AD11:AJ11" si="8">+AD6/Y6-1</f>
        <v>6.3508864779042051E-2</v>
      </c>
      <c r="AE11" s="335">
        <f t="shared" si="8"/>
        <v>6.8038522829626524E-2</v>
      </c>
      <c r="AF11" s="335">
        <f t="shared" si="8"/>
        <v>4.7785006195787183E-2</v>
      </c>
      <c r="AG11" s="441">
        <f t="shared" si="8"/>
        <v>6.1062118251747233E-2</v>
      </c>
      <c r="AH11" s="335">
        <f t="shared" si="8"/>
        <v>6.9003931847968492E-2</v>
      </c>
      <c r="AI11" s="335">
        <f t="shared" si="8"/>
        <v>7.8253296840010034E-2</v>
      </c>
      <c r="AJ11" s="335">
        <f t="shared" si="8"/>
        <v>6.4223159260460516E-2</v>
      </c>
      <c r="AK11" s="335">
        <f>+AK6/AF6-1</f>
        <v>0.14066080272008263</v>
      </c>
      <c r="AL11" s="441">
        <f>+AL6/AG6-1</f>
        <v>8.6330457863304622E-2</v>
      </c>
      <c r="AM11" s="335">
        <f>+AM6/AH6-1</f>
        <v>0.14742843131245009</v>
      </c>
      <c r="AN11" s="335">
        <f>+AN6/AI6-1</f>
        <v>0.16603207568939649</v>
      </c>
      <c r="AO11" s="335">
        <f t="shared" si="7"/>
        <v>0.10362694300518127</v>
      </c>
      <c r="AP11" s="335">
        <f>+AP6/AK6-1</f>
        <v>5.4950751684810673E-2</v>
      </c>
      <c r="AQ11" s="441">
        <f t="shared" si="7"/>
        <v>0.11958646386903671</v>
      </c>
      <c r="AR11" s="335">
        <f>+AR6/AM6-1</f>
        <v>3.4031413612565453E-2</v>
      </c>
      <c r="AS11" s="335">
        <f t="shared" si="7"/>
        <v>3.1318028893726479E-2</v>
      </c>
      <c r="AT11" s="335">
        <f>+AT6/AO6-1</f>
        <v>-6.2966031483016049E-3</v>
      </c>
      <c r="AU11" s="335">
        <f>+AU6/AP6-1</f>
        <v>8.4705159705159794E-2</v>
      </c>
      <c r="AV11" s="441">
        <f t="shared" si="7"/>
        <v>3.4576826024687923E-2</v>
      </c>
      <c r="AW11" s="335">
        <f t="shared" si="7"/>
        <v>6.9805998579178574E-2</v>
      </c>
      <c r="AX11" s="335">
        <f t="shared" si="7"/>
        <v>8.2874723914607928E-2</v>
      </c>
      <c r="AY11" s="335">
        <f t="shared" si="7"/>
        <v>9.7569283808570884E-2</v>
      </c>
      <c r="AZ11" s="335">
        <f t="shared" si="7"/>
        <v>7.2876498669233847E-2</v>
      </c>
      <c r="BA11" s="441">
        <f t="shared" si="7"/>
        <v>8.0697611041529393E-2</v>
      </c>
      <c r="BB11" s="335">
        <f t="shared" si="7"/>
        <v>6.6582410102238754E-2</v>
      </c>
      <c r="BC11" s="335">
        <f t="shared" si="7"/>
        <v>6.6404759482134645E-2</v>
      </c>
      <c r="BD11" s="335">
        <f t="shared" si="7"/>
        <v>6.2262096230059294E-2</v>
      </c>
      <c r="BE11" s="335">
        <f t="shared" si="7"/>
        <v>6.1802576460650238E-2</v>
      </c>
      <c r="BF11" s="441">
        <f t="shared" si="7"/>
        <v>6.4387986480100468E-2</v>
      </c>
      <c r="BG11" s="335">
        <f t="shared" si="7"/>
        <v>5.4718721035632578E-2</v>
      </c>
      <c r="BH11" s="335">
        <f t="shared" si="7"/>
        <v>5.4602780431234565E-2</v>
      </c>
      <c r="BI11" s="335">
        <f t="shared" si="7"/>
        <v>5.1888146982349559E-2</v>
      </c>
      <c r="BJ11" s="335">
        <f t="shared" si="7"/>
        <v>5.1585724506637787E-2</v>
      </c>
      <c r="BK11" s="441">
        <f t="shared" si="7"/>
        <v>5.3283854812181675E-2</v>
      </c>
      <c r="BL11" s="335">
        <f t="shared" si="7"/>
        <v>4.9740607665464731E-2</v>
      </c>
      <c r="BM11" s="335">
        <f t="shared" si="7"/>
        <v>4.9650176444687943E-2</v>
      </c>
      <c r="BN11" s="335">
        <f t="shared" si="7"/>
        <v>4.7527122041885583E-2</v>
      </c>
      <c r="BO11" s="335">
        <f t="shared" si="7"/>
        <v>4.7289925571900149E-2</v>
      </c>
      <c r="BP11" s="441">
        <f t="shared" si="7"/>
        <v>4.8620040917528362E-2</v>
      </c>
      <c r="BQ11" s="335">
        <f t="shared" si="7"/>
        <v>4.562063243700365E-2</v>
      </c>
      <c r="BR11" s="335">
        <f t="shared" si="7"/>
        <v>4.5539176288933891E-2</v>
      </c>
      <c r="BS11" s="335">
        <f>+BS6/BN6-1</f>
        <v>4.3622788831565451E-2</v>
      </c>
      <c r="BT11" s="335">
        <f>+BT6/BO6-1</f>
        <v>4.3408199525433622E-2</v>
      </c>
      <c r="BU11" s="441">
        <f t="shared" si="7"/>
        <v>4.4610287577951047E-2</v>
      </c>
      <c r="BV11" s="669"/>
      <c r="BW11" s="7"/>
      <c r="BX11" s="471"/>
      <c r="BY11" s="471"/>
      <c r="BZ11" s="7"/>
      <c r="CA11" s="7"/>
      <c r="CB11" s="7"/>
      <c r="CC11" s="468"/>
      <c r="CD11" s="468"/>
      <c r="CE11" s="7"/>
      <c r="CF11" s="7"/>
      <c r="CG11" s="564"/>
      <c r="CH11" s="564"/>
      <c r="CI11" s="665"/>
      <c r="CJ11" s="665"/>
      <c r="CK11" s="665"/>
      <c r="CL11" s="665"/>
      <c r="CM11" s="665"/>
      <c r="CN11" s="9"/>
    </row>
    <row r="12" spans="1:94" s="309" customFormat="1" x14ac:dyDescent="0.2">
      <c r="A12" s="330" t="s">
        <v>260</v>
      </c>
      <c r="B12" s="2"/>
      <c r="C12" s="2"/>
      <c r="D12" s="55">
        <v>639.1</v>
      </c>
      <c r="E12" s="55">
        <v>696.4</v>
      </c>
      <c r="F12" s="55">
        <v>502.2</v>
      </c>
      <c r="G12" s="55">
        <v>418.5</v>
      </c>
      <c r="H12" s="437">
        <f>+D12+E12+F12+G12</f>
        <v>2256.1999999999998</v>
      </c>
      <c r="I12" s="55">
        <v>621.5</v>
      </c>
      <c r="J12" s="55">
        <v>679.4</v>
      </c>
      <c r="K12" s="55">
        <v>611.6</v>
      </c>
      <c r="L12" s="55">
        <v>480.4</v>
      </c>
      <c r="M12" s="437">
        <f>+I12+J12+K12+L12</f>
        <v>2392.9</v>
      </c>
      <c r="N12" s="488">
        <v>677.5</v>
      </c>
      <c r="O12" s="488">
        <v>727</v>
      </c>
      <c r="P12" s="488">
        <v>540.5</v>
      </c>
      <c r="Q12" s="488">
        <v>524.5</v>
      </c>
      <c r="R12" s="437">
        <f>+N12+O12+P12+Q12</f>
        <v>2469.5</v>
      </c>
      <c r="S12" s="467">
        <v>724.1</v>
      </c>
      <c r="T12" s="467">
        <v>788.4</v>
      </c>
      <c r="U12" s="467">
        <v>547.4</v>
      </c>
      <c r="V12" s="467">
        <v>528.20000000000005</v>
      </c>
      <c r="W12" s="432">
        <f>+S12+T12+U12+V12</f>
        <v>2588.1000000000004</v>
      </c>
      <c r="X12" s="342">
        <v>761.6</v>
      </c>
      <c r="Y12" s="342">
        <v>814.6</v>
      </c>
      <c r="Z12" s="342">
        <v>661.6</v>
      </c>
      <c r="AA12" s="342">
        <v>597.79999999999995</v>
      </c>
      <c r="AB12" s="432">
        <f>+X12+Y12+Z12+AA12</f>
        <v>2835.6000000000004</v>
      </c>
      <c r="AC12" s="55">
        <v>867.7</v>
      </c>
      <c r="AD12" s="55">
        <v>891.8</v>
      </c>
      <c r="AE12" s="55">
        <v>768.1</v>
      </c>
      <c r="AF12" s="55">
        <v>661</v>
      </c>
      <c r="AG12" s="437">
        <f>+AC12+AD12+AE12+AF12</f>
        <v>3188.6</v>
      </c>
      <c r="AH12" s="55">
        <v>965.8</v>
      </c>
      <c r="AI12" s="55">
        <v>1019.5</v>
      </c>
      <c r="AJ12" s="55">
        <v>831.3</v>
      </c>
      <c r="AK12" s="55">
        <v>806</v>
      </c>
      <c r="AL12" s="437">
        <f>+AH12+AI12+AJ12+AK12</f>
        <v>3622.6</v>
      </c>
      <c r="AM12" s="55">
        <v>1151</v>
      </c>
      <c r="AN12" s="55">
        <v>1222.5</v>
      </c>
      <c r="AO12" s="55">
        <v>964.6</v>
      </c>
      <c r="AP12" s="55">
        <v>891.2</v>
      </c>
      <c r="AQ12" s="437">
        <f>+AM12+AN12+AO12+AP12</f>
        <v>4229.3</v>
      </c>
      <c r="AR12" s="55">
        <v>1242.3</v>
      </c>
      <c r="AS12" s="55">
        <v>1378.9</v>
      </c>
      <c r="AT12" s="55">
        <v>1040.0999999999999</v>
      </c>
      <c r="AU12" s="55">
        <v>997.2</v>
      </c>
      <c r="AV12" s="437">
        <f>+AR12+AS12+AT12+AU12</f>
        <v>4658.5</v>
      </c>
      <c r="AW12" s="55">
        <f>+AR12*(1+AW18)</f>
        <v>1391.2735102500001</v>
      </c>
      <c r="AX12" s="55">
        <f>+AS12*(1+AX18)</f>
        <v>1509.3163620000003</v>
      </c>
      <c r="AY12" s="55">
        <f>+AT12*(1+AY18)</f>
        <v>1170.0968985</v>
      </c>
      <c r="AZ12" s="55">
        <f>+AU12*(1+AZ18)</f>
        <v>1106.6751090000002</v>
      </c>
      <c r="BA12" s="437">
        <f>+AW12+AX12+AY12+AZ12</f>
        <v>5177.3618797500003</v>
      </c>
      <c r="BB12" s="55">
        <f>+AW12*(1+BB18)</f>
        <v>1508.7596018230615</v>
      </c>
      <c r="BC12" s="55">
        <f>+AX12*(1+BC18)</f>
        <v>1636.7705821890904</v>
      </c>
      <c r="BD12" s="55">
        <f>+AY12*(1+BD18)</f>
        <v>1268.9057310938326</v>
      </c>
      <c r="BE12" s="55">
        <f>+AZ12*(1+BE18)</f>
        <v>1200.1282885795054</v>
      </c>
      <c r="BF12" s="437">
        <f>+BB12+BC12+BD12+BE12</f>
        <v>5614.5642036854897</v>
      </c>
      <c r="BG12" s="55">
        <f>+BB12*(1+BG18)</f>
        <v>1608.6130841707161</v>
      </c>
      <c r="BH12" s="55">
        <f>+BC12*(1+BH18)</f>
        <v>1745.0961512448196</v>
      </c>
      <c r="BI12" s="55">
        <f>+BD12*(1+BI18)</f>
        <v>1352.88508464195</v>
      </c>
      <c r="BJ12" s="55">
        <f>+BE12*(1+BJ18)</f>
        <v>1279.5557790384182</v>
      </c>
      <c r="BK12" s="437">
        <f>+BG12+BH12+BI12+BJ12</f>
        <v>5986.1500990959039</v>
      </c>
      <c r="BL12" s="55">
        <f>+BG12*(1+BL18)</f>
        <v>1702.8536817068573</v>
      </c>
      <c r="BM12" s="55">
        <f>+BH12*(1+BM18)</f>
        <v>1847.332609265497</v>
      </c>
      <c r="BN12" s="55">
        <f>+BI12*(1+BN18)</f>
        <v>1432.1438573256985</v>
      </c>
      <c r="BO12" s="55">
        <f>+BJ12*(1+BO18)</f>
        <v>1354.5185543533837</v>
      </c>
      <c r="BP12" s="437">
        <f>+BL12+BM12+BN12+BO12</f>
        <v>6336.8487026514358</v>
      </c>
      <c r="BQ12" s="55">
        <f>+BL12*(1+BQ18)</f>
        <v>1793.9904107518082</v>
      </c>
      <c r="BR12" s="55">
        <f>+BM12*(1+BR18)</f>
        <v>1946.2018505133865</v>
      </c>
      <c r="BS12" s="55">
        <f>+BN12*(1+BS18)</f>
        <v>1508.7921965697699</v>
      </c>
      <c r="BT12" s="55">
        <f>+BO12*(1+BT18)</f>
        <v>1427.0123873823768</v>
      </c>
      <c r="BU12" s="437">
        <f>+BQ12+BR12+BS12+BT12</f>
        <v>6675.9968452173416</v>
      </c>
      <c r="BV12" s="488"/>
      <c r="BW12" s="670"/>
      <c r="BX12" s="467"/>
      <c r="BY12" s="467"/>
      <c r="BZ12" s="662"/>
      <c r="CA12" s="663"/>
      <c r="CB12" s="485"/>
      <c r="CC12" s="467"/>
      <c r="CD12" s="467"/>
      <c r="CE12" s="662"/>
      <c r="CF12" s="642"/>
      <c r="CG12" s="671"/>
      <c r="CH12" s="671"/>
      <c r="CI12" s="671"/>
      <c r="CJ12" s="647"/>
      <c r="CK12" s="671"/>
      <c r="CL12" s="671"/>
      <c r="CM12" s="671"/>
      <c r="CN12" s="672"/>
      <c r="CO12" s="673"/>
      <c r="CP12" s="674"/>
    </row>
    <row r="13" spans="1:94" s="309" customFormat="1" x14ac:dyDescent="0.2">
      <c r="A13" s="331" t="s">
        <v>211</v>
      </c>
      <c r="B13" s="2"/>
      <c r="C13" s="2"/>
      <c r="D13" s="45"/>
      <c r="E13" s="45"/>
      <c r="F13" s="45"/>
      <c r="G13" s="45"/>
      <c r="H13" s="438"/>
      <c r="I13" s="45"/>
      <c r="J13" s="45"/>
      <c r="K13" s="45"/>
      <c r="L13" s="45"/>
      <c r="M13" s="438"/>
      <c r="N13" s="489"/>
      <c r="O13" s="489"/>
      <c r="P13" s="489"/>
      <c r="Q13" s="489"/>
      <c r="R13" s="438"/>
      <c r="S13" s="470"/>
      <c r="T13" s="470"/>
      <c r="U13" s="470"/>
      <c r="V13" s="470"/>
      <c r="W13" s="439"/>
      <c r="X13" s="336">
        <f>+X18-X16-X17</f>
        <v>5.1788427012843474E-2</v>
      </c>
      <c r="Y13" s="336">
        <f>+Y18-Y16-Y17</f>
        <v>3.3231861998985313E-2</v>
      </c>
      <c r="Z13" s="336">
        <f>+Z18-Z16-Z17</f>
        <v>0.20862257946656926</v>
      </c>
      <c r="AA13" s="336">
        <f>+AA18-AA16-AA17</f>
        <v>0.13176826959485033</v>
      </c>
      <c r="AB13" s="455">
        <f>+AB18-AB16-AB17</f>
        <v>9.562999884084844E-2</v>
      </c>
      <c r="AC13" s="36">
        <f>+AC14+AC15</f>
        <v>0.13931197478991608</v>
      </c>
      <c r="AD13" s="36">
        <f>+AD14+AD15</f>
        <v>9.4770439479499036E-2</v>
      </c>
      <c r="AE13" s="36">
        <f>+AE14+AE15</f>
        <v>0.16097339782345821</v>
      </c>
      <c r="AF13" s="36">
        <f>+AF14+AF15</f>
        <v>0.10572097691535642</v>
      </c>
      <c r="AG13" s="465">
        <f>+AG18-AG16-AG17</f>
        <v>0.12448864437861462</v>
      </c>
      <c r="AH13" s="52">
        <f>+AH18-AH16-AH17</f>
        <v>0.11305750835542216</v>
      </c>
      <c r="AI13" s="52">
        <f>+AI18-AI16-AI17</f>
        <v>0.14319354115272498</v>
      </c>
      <c r="AJ13" s="52">
        <f>+AJ18-AJ16-AJ17</f>
        <v>8.2280953000911206E-2</v>
      </c>
      <c r="AK13" s="52">
        <f>+AK18-AK16-AK17</f>
        <v>0.17821482602117994</v>
      </c>
      <c r="AL13" s="465">
        <f>SUMPRODUCT(AH$13:AK$13,AC$12:AF$12)/AG$12</f>
        <v>0.12757950197578868</v>
      </c>
      <c r="AM13" s="52">
        <f>+AM18-AM16-AM17</f>
        <v>0.14785669910954649</v>
      </c>
      <c r="AN13" s="52">
        <f>+AN18-AN16-AN17</f>
        <v>0.15399705738106906</v>
      </c>
      <c r="AO13" s="52">
        <f>+AO18-AO16-AO17</f>
        <v>0.12209791892217009</v>
      </c>
      <c r="AP13" s="52">
        <f>+AP18-AP16-AP17</f>
        <v>9.9875930521091769E-2</v>
      </c>
      <c r="AQ13" s="465">
        <f>SUMPRODUCT(AM$13:AP$13,AH$12:AK$12)/AL$12</f>
        <v>0.1329983989399878</v>
      </c>
      <c r="AR13" s="52">
        <f>+AR18-AR16-AR17</f>
        <v>7.9322328410078136E-2</v>
      </c>
      <c r="AS13" s="52">
        <f>+AS18-AS16-AS17</f>
        <v>0.12793456032719841</v>
      </c>
      <c r="AT13" s="52">
        <f>+AT18-AT16-AT17</f>
        <v>7.8270785817955435E-2</v>
      </c>
      <c r="AU13" s="52">
        <f>+AU18-AU16-AU17</f>
        <v>0.11894075403949733</v>
      </c>
      <c r="AV13" s="465">
        <f>SUMPRODUCT(AR$13:AU$13,AM$12:AP$12)/AQ$12</f>
        <v>0.10148251483697061</v>
      </c>
      <c r="AW13" s="36">
        <f>+(1+AW14)*(1+AW15)-1</f>
        <v>0.11991750000000012</v>
      </c>
      <c r="AX13" s="36">
        <f>+(1+AX14)*(1+AX15)-1</f>
        <v>9.4580000000000108E-2</v>
      </c>
      <c r="AY13" s="36">
        <f>+(1+AY14)*(1+AY15)-1</f>
        <v>0.12498500000000012</v>
      </c>
      <c r="AZ13" s="36">
        <f>+(1+AZ14)*(1+AZ15)-1</f>
        <v>0.10978250000000012</v>
      </c>
      <c r="BA13" s="465">
        <f>SUMPRODUCT(AW$13:AZ$13,AR$12:AU$12)/AV$12</f>
        <v>0.11137960282279714</v>
      </c>
      <c r="BB13" s="36">
        <f>+(1+BB14)*(1+BB15)-1</f>
        <v>8.4445000000000103E-2</v>
      </c>
      <c r="BC13" s="36">
        <f>+(1+BC14)*(1+BC15)-1</f>
        <v>8.4445000000000103E-2</v>
      </c>
      <c r="BD13" s="36">
        <f>+(1+BD14)*(1+BD15)-1</f>
        <v>8.4445000000000103E-2</v>
      </c>
      <c r="BE13" s="36">
        <f>+(1+BE14)*(1+BE15)-1</f>
        <v>8.4445000000000103E-2</v>
      </c>
      <c r="BF13" s="465">
        <f>SUMPRODUCT(BB$13:BE$13,AW$12:AZ$12)/BA$12</f>
        <v>8.4445000000000103E-2</v>
      </c>
      <c r="BG13" s="36">
        <f>+(1+BG14)*(1+BG15)-1</f>
        <v>6.6182499999999811E-2</v>
      </c>
      <c r="BH13" s="36">
        <f>+(1+BH14)*(1+BH15)-1</f>
        <v>6.6182499999999811E-2</v>
      </c>
      <c r="BI13" s="36">
        <f>+(1+BI14)*(1+BI15)-1</f>
        <v>6.6182499999999811E-2</v>
      </c>
      <c r="BJ13" s="36">
        <f>+(1+BJ14)*(1+BJ15)-1</f>
        <v>6.6182499999999811E-2</v>
      </c>
      <c r="BK13" s="465">
        <f>SUMPRODUCT(BG$13:BJ$13,BB$12:BE$12)/BF$12</f>
        <v>6.6182499999999811E-2</v>
      </c>
      <c r="BL13" s="36">
        <f>+(1+BL14)*(1+BL15)-1</f>
        <v>5.8584999999999887E-2</v>
      </c>
      <c r="BM13" s="36">
        <f>+(1+BM14)*(1+BM15)-1</f>
        <v>5.8584999999999887E-2</v>
      </c>
      <c r="BN13" s="36">
        <f>+(1+BN14)*(1+BN15)-1</f>
        <v>5.8584999999999887E-2</v>
      </c>
      <c r="BO13" s="36">
        <f>+(1+BO14)*(1+BO15)-1</f>
        <v>5.8584999999999887E-2</v>
      </c>
      <c r="BP13" s="465">
        <f>SUMPRODUCT(BL$13:BO$13,BG$12:BJ$12)/BK$12</f>
        <v>5.8584999999999894E-2</v>
      </c>
      <c r="BQ13" s="36">
        <f>+(1+BQ14)*(1+BQ15)-1</f>
        <v>5.3520000000000012E-2</v>
      </c>
      <c r="BR13" s="36">
        <f>+(1+BR14)*(1+BR15)-1</f>
        <v>5.3520000000000012E-2</v>
      </c>
      <c r="BS13" s="36">
        <f>+(1+BS14)*(1+BS15)-1</f>
        <v>5.3520000000000012E-2</v>
      </c>
      <c r="BT13" s="36">
        <f>+(1+BT14)*(1+BT15)-1</f>
        <v>5.3520000000000012E-2</v>
      </c>
      <c r="BU13" s="465">
        <f>SUMPRODUCT(BQ$13:BT$13,BL$12:BO$12)/BP$12</f>
        <v>5.3520000000000019E-2</v>
      </c>
      <c r="BV13" s="675"/>
      <c r="BW13" s="638"/>
      <c r="BX13" s="471"/>
      <c r="BY13" s="471"/>
      <c r="BZ13" s="667"/>
      <c r="CA13" s="653"/>
      <c r="CB13" s="484"/>
      <c r="CC13" s="471"/>
      <c r="CD13" s="471"/>
      <c r="CE13" s="667"/>
      <c r="CF13" s="642"/>
      <c r="CG13" s="676"/>
      <c r="CH13" s="676"/>
      <c r="CI13" s="676"/>
      <c r="CJ13" s="677"/>
      <c r="CK13" s="671"/>
      <c r="CL13" s="671"/>
      <c r="CM13" s="671"/>
      <c r="CN13" s="482"/>
      <c r="CO13" s="636"/>
    </row>
    <row r="14" spans="1:94" s="309" customFormat="1" x14ac:dyDescent="0.2">
      <c r="A14" s="337" t="s">
        <v>236</v>
      </c>
      <c r="B14" s="2"/>
      <c r="C14" s="2"/>
      <c r="D14" s="45"/>
      <c r="E14" s="45"/>
      <c r="F14" s="45"/>
      <c r="G14" s="45"/>
      <c r="H14" s="438"/>
      <c r="I14" s="45"/>
      <c r="J14" s="45"/>
      <c r="K14" s="45"/>
      <c r="L14" s="45"/>
      <c r="M14" s="438"/>
      <c r="N14" s="489"/>
      <c r="O14" s="489"/>
      <c r="P14" s="489"/>
      <c r="Q14" s="489"/>
      <c r="R14" s="438"/>
      <c r="S14" s="470"/>
      <c r="T14" s="470"/>
      <c r="U14" s="470"/>
      <c r="V14" s="470"/>
      <c r="W14" s="439"/>
      <c r="X14" s="77">
        <f>2.3%*2-Y14</f>
        <v>3.5000000000000003E-2</v>
      </c>
      <c r="Y14" s="77">
        <v>1.0999999999999999E-2</v>
      </c>
      <c r="Z14" s="77">
        <v>0.16900000000000001</v>
      </c>
      <c r="AA14" s="77">
        <v>9.9000000000000005E-2</v>
      </c>
      <c r="AB14" s="455">
        <v>6.9000000000000006E-2</v>
      </c>
      <c r="AC14" s="36">
        <v>0.105</v>
      </c>
      <c r="AD14" s="36">
        <v>7.1999999999999995E-2</v>
      </c>
      <c r="AE14" s="36">
        <v>0.14199999999999999</v>
      </c>
      <c r="AF14" s="36">
        <v>0.106</v>
      </c>
      <c r="AG14" s="465">
        <v>0.104</v>
      </c>
      <c r="AH14" s="36">
        <v>0.10199999999999999</v>
      </c>
      <c r="AI14" s="36">
        <v>0.127</v>
      </c>
      <c r="AJ14" s="36">
        <v>6.6000000000000003E-2</v>
      </c>
      <c r="AK14" s="36">
        <v>0.13900000000000001</v>
      </c>
      <c r="AL14" s="465">
        <f>SUMPRODUCT(AH$14:AK$14,AC$12:AF$12)/AG$12</f>
        <v>0.10799021514144139</v>
      </c>
      <c r="AM14" s="36">
        <v>0.11899999999999999</v>
      </c>
      <c r="AN14" s="36">
        <v>0.13100000000000001</v>
      </c>
      <c r="AO14" s="36">
        <v>0.10299999999999999</v>
      </c>
      <c r="AP14" s="36">
        <v>8.6499999999999994E-2</v>
      </c>
      <c r="AQ14" s="465">
        <f>SUMPRODUCT(AM$14:AP$14,AH$12:AK$12)/AL$12</f>
        <v>0.11147452106222051</v>
      </c>
      <c r="AR14" s="36">
        <v>7.0000000000000007E-2</v>
      </c>
      <c r="AS14" s="36">
        <v>0.11700000000000001</v>
      </c>
      <c r="AT14" s="36">
        <v>5.8999999999999997E-2</v>
      </c>
      <c r="AU14" s="36">
        <v>0.10199999999999999</v>
      </c>
      <c r="AV14" s="465">
        <f>SUMPRODUCT(AR$14:AU$14,AM$12:AP$12)/AQ$12</f>
        <v>8.7819804695812548E-2</v>
      </c>
      <c r="AW14" s="64">
        <v>0.105</v>
      </c>
      <c r="AX14" s="64">
        <v>0.08</v>
      </c>
      <c r="AY14" s="64">
        <v>0.11</v>
      </c>
      <c r="AZ14" s="64">
        <v>9.5000000000000001E-2</v>
      </c>
      <c r="BA14" s="465">
        <f>SUMPRODUCT(AW$14:AZ$14,AR$12:AU$12)/AV$12</f>
        <v>9.6575829129548138E-2</v>
      </c>
      <c r="BB14" s="64">
        <v>7.0000000000000007E-2</v>
      </c>
      <c r="BC14" s="64">
        <v>7.0000000000000007E-2</v>
      </c>
      <c r="BD14" s="64">
        <v>7.0000000000000007E-2</v>
      </c>
      <c r="BE14" s="64">
        <v>7.0000000000000007E-2</v>
      </c>
      <c r="BF14" s="465">
        <f>SUMPRODUCT(BB$14:BE$14,AW$12:AZ$12)/BA$12</f>
        <v>7.0000000000000007E-2</v>
      </c>
      <c r="BG14" s="64">
        <v>5.2499999999999998E-2</v>
      </c>
      <c r="BH14" s="64">
        <v>5.2499999999999998E-2</v>
      </c>
      <c r="BI14" s="64">
        <v>5.2499999999999998E-2</v>
      </c>
      <c r="BJ14" s="64">
        <v>5.2499999999999998E-2</v>
      </c>
      <c r="BK14" s="465">
        <f>SUMPRODUCT(BG$14:BJ$14,BB$12:BE$12)/BF$12</f>
        <v>5.2499999999999998E-2</v>
      </c>
      <c r="BL14" s="64">
        <v>4.4999999999999998E-2</v>
      </c>
      <c r="BM14" s="64">
        <v>4.4999999999999998E-2</v>
      </c>
      <c r="BN14" s="64">
        <v>4.4999999999999998E-2</v>
      </c>
      <c r="BO14" s="64">
        <v>4.4999999999999998E-2</v>
      </c>
      <c r="BP14" s="465">
        <f>SUMPRODUCT(BL$14:BO$14,BG$12:BJ$12)/BK$12</f>
        <v>4.5000000000000005E-2</v>
      </c>
      <c r="BQ14" s="64">
        <v>0.04</v>
      </c>
      <c r="BR14" s="64">
        <v>0.04</v>
      </c>
      <c r="BS14" s="64">
        <v>0.04</v>
      </c>
      <c r="BT14" s="64">
        <v>0.04</v>
      </c>
      <c r="BU14" s="465">
        <f>SUMPRODUCT(BQ$14:BT$14,BL$12:BO$12)/BP$12</f>
        <v>0.04</v>
      </c>
      <c r="BW14" s="678"/>
      <c r="BX14" s="471"/>
      <c r="BY14" s="471"/>
      <c r="BZ14" s="653"/>
      <c r="CA14" s="653"/>
      <c r="CB14" s="482"/>
      <c r="CC14" s="470"/>
      <c r="CD14" s="470"/>
      <c r="CE14" s="653"/>
      <c r="CF14" s="642"/>
      <c r="CG14" s="671"/>
      <c r="CH14" s="671"/>
      <c r="CI14" s="671"/>
      <c r="CJ14" s="677"/>
      <c r="CK14" s="671"/>
      <c r="CL14" s="671"/>
      <c r="CM14" s="671"/>
      <c r="CN14" s="489"/>
      <c r="CO14" s="482"/>
    </row>
    <row r="15" spans="1:94" s="309" customFormat="1" x14ac:dyDescent="0.2">
      <c r="A15" s="337" t="s">
        <v>190</v>
      </c>
      <c r="B15" s="2"/>
      <c r="C15" s="2"/>
      <c r="D15" s="45"/>
      <c r="E15" s="45"/>
      <c r="F15" s="45"/>
      <c r="G15" s="45"/>
      <c r="H15" s="438"/>
      <c r="I15" s="45"/>
      <c r="J15" s="45"/>
      <c r="K15" s="45"/>
      <c r="L15" s="45"/>
      <c r="M15" s="438"/>
      <c r="N15" s="489"/>
      <c r="O15" s="489"/>
      <c r="P15" s="489"/>
      <c r="Q15" s="489"/>
      <c r="R15" s="438"/>
      <c r="S15" s="470"/>
      <c r="T15" s="470"/>
      <c r="U15" s="470"/>
      <c r="V15" s="470"/>
      <c r="W15" s="439"/>
      <c r="X15" s="77">
        <f>+X13-X14</f>
        <v>1.6788427012843471E-2</v>
      </c>
      <c r="Y15" s="77">
        <f>+Y13-Y14</f>
        <v>2.2231861998985313E-2</v>
      </c>
      <c r="Z15" s="77">
        <f>+Z13-Z14</f>
        <v>3.9622579466569247E-2</v>
      </c>
      <c r="AA15" s="77">
        <f>+AA13-AA14</f>
        <v>3.2768269594850324E-2</v>
      </c>
      <c r="AB15" s="455">
        <f>+AB13-AB14</f>
        <v>2.6629998840848434E-2</v>
      </c>
      <c r="AC15" s="36">
        <f>+AC18-AC14</f>
        <v>3.4311974789916086E-2</v>
      </c>
      <c r="AD15" s="36">
        <f>+AD18-AD14</f>
        <v>2.2770439479499041E-2</v>
      </c>
      <c r="AE15" s="36">
        <f>+AE18-AE14</f>
        <v>1.8973397823458221E-2</v>
      </c>
      <c r="AF15" s="36">
        <f>+AF18-AF14</f>
        <v>-2.7902308464357317E-4</v>
      </c>
      <c r="AG15" s="465">
        <f>+AG13-AG14</f>
        <v>2.0488644378614626E-2</v>
      </c>
      <c r="AH15" s="52">
        <f>+(1+AH13)/(1+AH14)-1</f>
        <v>1.0034036620165221E-2</v>
      </c>
      <c r="AI15" s="52">
        <f>+(1+AI13)/(1+AI14)-1</f>
        <v>1.4368714421229001E-2</v>
      </c>
      <c r="AJ15" s="52">
        <f>+(1+AJ13)/(1+AJ14)-1</f>
        <v>1.5272939025245069E-2</v>
      </c>
      <c r="AK15" s="52">
        <f>+(1+AK13)/(1+AK14)-1</f>
        <v>3.4429171221404653E-2</v>
      </c>
      <c r="AL15" s="465">
        <f>SUMPRODUCT(AH$15:AK$15,AC$12:AF$12)/AG$12</f>
        <v>1.7565508291666754E-2</v>
      </c>
      <c r="AM15" s="52">
        <f>+(1+AM13)/(1+AM14)-1</f>
        <v>2.578793486107811E-2</v>
      </c>
      <c r="AN15" s="52">
        <f>+(1+AN13)/(1+AN14)-1</f>
        <v>2.0333384068142557E-2</v>
      </c>
      <c r="AO15" s="52">
        <f>+(1+AO13)/(1+AO14)-1</f>
        <v>1.7314523048205022E-2</v>
      </c>
      <c r="AP15" s="52">
        <f>+(1+AP13)/(1+AP14)-1</f>
        <v>1.2311026710622786E-2</v>
      </c>
      <c r="AQ15" s="465">
        <f>SUMPRODUCT(AM$15:AP$15,AH$12:AK$12)/AL$12</f>
        <v>1.930992190278678E-2</v>
      </c>
      <c r="AR15" s="401">
        <f>+(1+AR13)/(1+AR14)-1</f>
        <v>8.7124564580169928E-3</v>
      </c>
      <c r="AS15" s="401">
        <f>+(1+AS13)/(1+AS14)-1</f>
        <v>9.7892214209476247E-3</v>
      </c>
      <c r="AT15" s="52">
        <f>+(1+AT13)/(1+AT14)-1</f>
        <v>1.8197153746889017E-2</v>
      </c>
      <c r="AU15" s="52">
        <f>+(1+AU13)/(1+AU14)-1</f>
        <v>1.537273506306458E-2</v>
      </c>
      <c r="AV15" s="465">
        <f>SUMPRODUCT(AR$15:AU$15,AM$12:AP$12)/AQ$12</f>
        <v>1.25903853031798E-2</v>
      </c>
      <c r="AW15" s="64">
        <v>1.35E-2</v>
      </c>
      <c r="AX15" s="64">
        <v>1.35E-2</v>
      </c>
      <c r="AY15" s="64">
        <v>1.35E-2</v>
      </c>
      <c r="AZ15" s="64">
        <v>1.35E-2</v>
      </c>
      <c r="BA15" s="465">
        <f>SUMPRODUCT(AW$15:AZ$15,AR$12:AU$12)/AV$12</f>
        <v>1.35E-2</v>
      </c>
      <c r="BB15" s="64">
        <v>1.35E-2</v>
      </c>
      <c r="BC15" s="64">
        <v>1.35E-2</v>
      </c>
      <c r="BD15" s="64">
        <v>1.35E-2</v>
      </c>
      <c r="BE15" s="64">
        <v>1.35E-2</v>
      </c>
      <c r="BF15" s="465">
        <f>SUMPRODUCT(BB$15:BE$15,AW$12:AZ$12)/BA$12</f>
        <v>1.3499999999999998E-2</v>
      </c>
      <c r="BG15" s="64">
        <v>1.2999999999999999E-2</v>
      </c>
      <c r="BH15" s="64">
        <v>1.2999999999999999E-2</v>
      </c>
      <c r="BI15" s="64">
        <v>1.2999999999999999E-2</v>
      </c>
      <c r="BJ15" s="64">
        <v>1.2999999999999999E-2</v>
      </c>
      <c r="BK15" s="465">
        <f>SUMPRODUCT(BG$15:BJ$15,BB$12:BE$12)/BF$12</f>
        <v>1.2999999999999999E-2</v>
      </c>
      <c r="BL15" s="64">
        <v>1.2999999999999999E-2</v>
      </c>
      <c r="BM15" s="64">
        <v>1.2999999999999999E-2</v>
      </c>
      <c r="BN15" s="64">
        <v>1.2999999999999999E-2</v>
      </c>
      <c r="BO15" s="64">
        <v>1.2999999999999999E-2</v>
      </c>
      <c r="BP15" s="465">
        <f>SUMPRODUCT(BL$15:BO$15,BG$12:BJ$12)/BK$12</f>
        <v>1.3000000000000001E-2</v>
      </c>
      <c r="BQ15" s="64">
        <v>1.2999999999999999E-2</v>
      </c>
      <c r="BR15" s="64">
        <v>1.2999999999999999E-2</v>
      </c>
      <c r="BS15" s="64">
        <v>1.2999999999999999E-2</v>
      </c>
      <c r="BT15" s="64">
        <v>1.2999999999999999E-2</v>
      </c>
      <c r="BU15" s="465">
        <f>SUMPRODUCT(BQ$15:BT$15,BL$12:BO$12)/BP$12</f>
        <v>1.3000000000000001E-2</v>
      </c>
      <c r="BW15" s="678"/>
      <c r="BX15" s="471"/>
      <c r="BY15" s="471"/>
      <c r="BZ15" s="653"/>
      <c r="CA15" s="653"/>
      <c r="CC15" s="470"/>
      <c r="CD15" s="470"/>
      <c r="CE15" s="653"/>
      <c r="CF15" s="642"/>
      <c r="CG15" s="671"/>
      <c r="CH15" s="671"/>
      <c r="CI15" s="671"/>
      <c r="CJ15" s="677"/>
      <c r="CK15" s="671"/>
      <c r="CL15" s="671"/>
      <c r="CM15" s="671"/>
      <c r="CN15" s="489"/>
      <c r="CO15" s="482"/>
    </row>
    <row r="16" spans="1:94" s="309" customFormat="1" x14ac:dyDescent="0.2">
      <c r="A16" s="331" t="s">
        <v>219</v>
      </c>
      <c r="B16" s="2"/>
      <c r="C16" s="2"/>
      <c r="D16" s="45"/>
      <c r="E16" s="45"/>
      <c r="F16" s="45"/>
      <c r="G16" s="45"/>
      <c r="H16" s="438"/>
      <c r="I16" s="45"/>
      <c r="J16" s="45"/>
      <c r="K16" s="45"/>
      <c r="L16" s="45"/>
      <c r="M16" s="438"/>
      <c r="N16" s="489"/>
      <c r="O16" s="489"/>
      <c r="P16" s="489"/>
      <c r="Q16" s="489"/>
      <c r="R16" s="438"/>
      <c r="S16" s="470"/>
      <c r="T16" s="470"/>
      <c r="U16" s="470"/>
      <c r="V16" s="470"/>
      <c r="W16" s="439"/>
      <c r="X16" s="77">
        <v>0</v>
      </c>
      <c r="Y16" s="77">
        <v>0</v>
      </c>
      <c r="Z16" s="77">
        <v>0</v>
      </c>
      <c r="AA16" s="77">
        <v>0</v>
      </c>
      <c r="AB16" s="455">
        <v>0</v>
      </c>
      <c r="AC16" s="36">
        <v>0</v>
      </c>
      <c r="AD16" s="36">
        <v>0</v>
      </c>
      <c r="AE16" s="36">
        <v>0</v>
      </c>
      <c r="AF16" s="36">
        <v>0</v>
      </c>
      <c r="AG16" s="465">
        <v>0</v>
      </c>
      <c r="AH16" s="36">
        <v>0</v>
      </c>
      <c r="AI16" s="36">
        <v>0</v>
      </c>
      <c r="AJ16" s="36">
        <v>0</v>
      </c>
      <c r="AK16" s="36">
        <v>0</v>
      </c>
      <c r="AL16" s="465">
        <f>SUMPRODUCT(AH$16:AK$16,AC$12:AF$12)/AG$12</f>
        <v>0</v>
      </c>
      <c r="AM16" s="36">
        <v>0</v>
      </c>
      <c r="AN16" s="36">
        <v>0</v>
      </c>
      <c r="AO16" s="36">
        <v>0</v>
      </c>
      <c r="AP16" s="36">
        <v>0</v>
      </c>
      <c r="AQ16" s="465">
        <f>SUMPRODUCT(AM$16:AP$16,AH$12:AK$12)/AL$12</f>
        <v>0</v>
      </c>
      <c r="AR16" s="36">
        <v>0</v>
      </c>
      <c r="AS16" s="36">
        <v>0</v>
      </c>
      <c r="AT16" s="36">
        <v>0</v>
      </c>
      <c r="AU16" s="36">
        <v>0</v>
      </c>
      <c r="AV16" s="465">
        <f>SUMPRODUCT(AR$16:AU$16,AM$12:AP$12)/AQ$12</f>
        <v>0</v>
      </c>
      <c r="AW16" s="36">
        <v>0</v>
      </c>
      <c r="AX16" s="36">
        <v>0</v>
      </c>
      <c r="AY16" s="36">
        <v>0</v>
      </c>
      <c r="AZ16" s="36">
        <v>0</v>
      </c>
      <c r="BA16" s="465">
        <f>SUMPRODUCT(AW$16:AZ$16,AR$12:AU$12)/AV$12</f>
        <v>0</v>
      </c>
      <c r="BB16" s="36">
        <v>0</v>
      </c>
      <c r="BC16" s="36">
        <v>0</v>
      </c>
      <c r="BD16" s="36">
        <v>0</v>
      </c>
      <c r="BE16" s="36">
        <v>0</v>
      </c>
      <c r="BF16" s="465">
        <f>SUMPRODUCT(BB$16:BE$16,AW$12:AZ$12)/BA$12</f>
        <v>0</v>
      </c>
      <c r="BG16" s="36">
        <v>0</v>
      </c>
      <c r="BH16" s="36">
        <v>0</v>
      </c>
      <c r="BI16" s="36">
        <v>0</v>
      </c>
      <c r="BJ16" s="36">
        <v>0</v>
      </c>
      <c r="BK16" s="465">
        <f>SUMPRODUCT(BG$16:BJ$16,BB$12:BE$12)/BF$12</f>
        <v>0</v>
      </c>
      <c r="BL16" s="36">
        <v>0</v>
      </c>
      <c r="BM16" s="36">
        <v>0</v>
      </c>
      <c r="BN16" s="36">
        <v>0</v>
      </c>
      <c r="BO16" s="36">
        <v>0</v>
      </c>
      <c r="BP16" s="465">
        <f>SUMPRODUCT(BL$16:BO$16,BG$12:BJ$12)/BK$12</f>
        <v>0</v>
      </c>
      <c r="BQ16" s="36">
        <v>0</v>
      </c>
      <c r="BR16" s="36">
        <v>0</v>
      </c>
      <c r="BS16" s="36">
        <v>0</v>
      </c>
      <c r="BT16" s="36">
        <v>0</v>
      </c>
      <c r="BU16" s="465">
        <f>SUMPRODUCT(BQ$16:BT$16,BL$12:BO$12)/BP$12</f>
        <v>0</v>
      </c>
      <c r="BV16" s="482"/>
      <c r="BW16" s="678"/>
      <c r="BX16" s="470"/>
      <c r="BY16" s="471"/>
      <c r="BZ16" s="653"/>
      <c r="CA16" s="653"/>
      <c r="CB16" s="679"/>
      <c r="CC16" s="470"/>
      <c r="CD16" s="470"/>
      <c r="CE16" s="653"/>
      <c r="CF16" s="642"/>
      <c r="CG16" s="671"/>
      <c r="CH16" s="671"/>
      <c r="CI16" s="671"/>
      <c r="CJ16" s="677"/>
      <c r="CK16" s="671"/>
      <c r="CL16" s="671"/>
      <c r="CM16" s="671"/>
      <c r="CN16" s="489"/>
      <c r="CO16" s="489"/>
    </row>
    <row r="17" spans="1:95" s="309" customFormat="1" x14ac:dyDescent="0.2">
      <c r="A17" s="331" t="s">
        <v>258</v>
      </c>
      <c r="B17" s="2"/>
      <c r="C17" s="2"/>
      <c r="D17" s="45"/>
      <c r="E17" s="45"/>
      <c r="F17" s="45"/>
      <c r="G17" s="45"/>
      <c r="H17" s="438"/>
      <c r="I17" s="45"/>
      <c r="J17" s="45"/>
      <c r="K17" s="45"/>
      <c r="L17" s="45"/>
      <c r="M17" s="438"/>
      <c r="N17" s="489"/>
      <c r="O17" s="489"/>
      <c r="P17" s="489"/>
      <c r="Q17" s="489"/>
      <c r="R17" s="438"/>
      <c r="S17" s="470"/>
      <c r="T17" s="470"/>
      <c r="U17" s="470"/>
      <c r="V17" s="470"/>
      <c r="W17" s="439"/>
      <c r="X17" s="77">
        <v>0</v>
      </c>
      <c r="Y17" s="77">
        <v>0</v>
      </c>
      <c r="Z17" s="77">
        <v>0</v>
      </c>
      <c r="AA17" s="77">
        <v>0</v>
      </c>
      <c r="AB17" s="455">
        <v>0</v>
      </c>
      <c r="AC17" s="36">
        <v>0</v>
      </c>
      <c r="AD17" s="36">
        <v>0</v>
      </c>
      <c r="AE17" s="36">
        <v>0</v>
      </c>
      <c r="AF17" s="36">
        <v>0</v>
      </c>
      <c r="AG17" s="465">
        <v>0</v>
      </c>
      <c r="AH17" s="36">
        <v>0</v>
      </c>
      <c r="AI17" s="36">
        <v>0</v>
      </c>
      <c r="AJ17" s="36">
        <v>0</v>
      </c>
      <c r="AK17" s="36">
        <f>27.2/AF12</f>
        <v>4.1149773071104387E-2</v>
      </c>
      <c r="AL17" s="465">
        <f>SUMPRODUCT(AH$17:AK$17,AC$12:AF$12)/AG$12</f>
        <v>8.5303895126387762E-3</v>
      </c>
      <c r="AM17" s="36">
        <f>42.4/AH12</f>
        <v>4.3901428867260305E-2</v>
      </c>
      <c r="AN17" s="36">
        <f>46/AI12</f>
        <v>4.5120156939676311E-2</v>
      </c>
      <c r="AO17" s="36">
        <f>31.8/AJ12</f>
        <v>3.8253338145073985E-2</v>
      </c>
      <c r="AP17" s="36">
        <f>4.7/AK12</f>
        <v>5.8312655086848637E-3</v>
      </c>
      <c r="AQ17" s="465">
        <f>SUMPRODUCT(AM$17:AP$17,AH$12:AK$12)/AL$12</f>
        <v>3.447799922707448E-2</v>
      </c>
      <c r="AR17" s="36">
        <v>0</v>
      </c>
      <c r="AS17" s="36">
        <f>+AR17</f>
        <v>0</v>
      </c>
      <c r="AT17" s="36">
        <f>+AS17</f>
        <v>0</v>
      </c>
      <c r="AU17" s="36">
        <f>+AT17</f>
        <v>0</v>
      </c>
      <c r="AV17" s="465">
        <f>SUMPRODUCT(AR$17:AU$17,AM$12:AP$12)/AQ$12</f>
        <v>0</v>
      </c>
      <c r="AW17" s="36">
        <v>0</v>
      </c>
      <c r="AX17" s="36">
        <v>0</v>
      </c>
      <c r="AY17" s="36">
        <v>0</v>
      </c>
      <c r="AZ17" s="36">
        <f t="shared" ref="AZ17:BT17" si="9">+AY17</f>
        <v>0</v>
      </c>
      <c r="BA17" s="465">
        <f>SUMPRODUCT(AW$17:AZ$17,AR$12:AU$12)/AV$12</f>
        <v>0</v>
      </c>
      <c r="BB17" s="36">
        <f t="shared" si="9"/>
        <v>0</v>
      </c>
      <c r="BC17" s="36">
        <f t="shared" si="9"/>
        <v>0</v>
      </c>
      <c r="BD17" s="36">
        <f t="shared" si="9"/>
        <v>0</v>
      </c>
      <c r="BE17" s="36">
        <f t="shared" si="9"/>
        <v>0</v>
      </c>
      <c r="BF17" s="465">
        <f>SUMPRODUCT(BB$17:BE$17,AW$12:AZ$12)/BA$12</f>
        <v>0</v>
      </c>
      <c r="BG17" s="36">
        <f t="shared" si="9"/>
        <v>0</v>
      </c>
      <c r="BH17" s="36">
        <f t="shared" si="9"/>
        <v>0</v>
      </c>
      <c r="BI17" s="36">
        <f t="shared" si="9"/>
        <v>0</v>
      </c>
      <c r="BJ17" s="36">
        <f t="shared" si="9"/>
        <v>0</v>
      </c>
      <c r="BK17" s="465">
        <f>SUMPRODUCT(BG$17:BJ$17,BB$12:BE$12)/BF$12</f>
        <v>0</v>
      </c>
      <c r="BL17" s="36">
        <f t="shared" si="9"/>
        <v>0</v>
      </c>
      <c r="BM17" s="36">
        <f t="shared" si="9"/>
        <v>0</v>
      </c>
      <c r="BN17" s="36">
        <f t="shared" si="9"/>
        <v>0</v>
      </c>
      <c r="BO17" s="36">
        <f t="shared" si="9"/>
        <v>0</v>
      </c>
      <c r="BP17" s="465">
        <f>SUMPRODUCT(BL$17:BO$17,BG$12:BJ$12)/BK$12</f>
        <v>0</v>
      </c>
      <c r="BQ17" s="36">
        <f t="shared" si="9"/>
        <v>0</v>
      </c>
      <c r="BR17" s="36">
        <f t="shared" si="9"/>
        <v>0</v>
      </c>
      <c r="BS17" s="36">
        <f t="shared" si="9"/>
        <v>0</v>
      </c>
      <c r="BT17" s="36">
        <f t="shared" si="9"/>
        <v>0</v>
      </c>
      <c r="BU17" s="465">
        <f>SUMPRODUCT(BQ$17:BT$17,BL$12:BO$12)/BP$12</f>
        <v>0</v>
      </c>
      <c r="BW17" s="680"/>
      <c r="BX17" s="471"/>
      <c r="BY17" s="471"/>
      <c r="BZ17" s="653"/>
      <c r="CA17" s="681"/>
      <c r="CC17" s="470"/>
      <c r="CD17" s="470"/>
      <c r="CE17" s="653"/>
      <c r="CF17" s="642"/>
      <c r="CG17" s="671"/>
      <c r="CH17" s="671"/>
      <c r="CI17" s="671"/>
      <c r="CJ17" s="677"/>
      <c r="CK17" s="671"/>
      <c r="CL17" s="671"/>
      <c r="CM17" s="671"/>
      <c r="CN17" s="489"/>
      <c r="CO17" s="489"/>
    </row>
    <row r="18" spans="1:95" s="309" customFormat="1" x14ac:dyDescent="0.2">
      <c r="A18" s="332" t="s">
        <v>259</v>
      </c>
      <c r="B18" s="2"/>
      <c r="C18" s="2"/>
      <c r="D18" s="36"/>
      <c r="E18" s="36"/>
      <c r="F18" s="36"/>
      <c r="G18" s="36"/>
      <c r="H18" s="440"/>
      <c r="I18" s="36">
        <f t="shared" ref="I18:AA18" si="10">+I12/D12-1</f>
        <v>-2.7538726333907082E-2</v>
      </c>
      <c r="J18" s="36">
        <f t="shared" si="10"/>
        <v>-2.4411257897759886E-2</v>
      </c>
      <c r="K18" s="36">
        <f t="shared" si="10"/>
        <v>0.21784149741139003</v>
      </c>
      <c r="L18" s="36">
        <f t="shared" si="10"/>
        <v>0.14790919952210269</v>
      </c>
      <c r="M18" s="440">
        <f t="shared" si="10"/>
        <v>6.0588600301391793E-2</v>
      </c>
      <c r="N18" s="490">
        <f t="shared" si="10"/>
        <v>9.0104585679806837E-2</v>
      </c>
      <c r="O18" s="477">
        <f t="shared" si="10"/>
        <v>7.0061819252281499E-2</v>
      </c>
      <c r="P18" s="477">
        <f t="shared" si="10"/>
        <v>-0.1162524525833879</v>
      </c>
      <c r="Q18" s="477">
        <f t="shared" si="10"/>
        <v>9.1798501248959274E-2</v>
      </c>
      <c r="R18" s="440">
        <f t="shared" si="10"/>
        <v>3.2011366960591703E-2</v>
      </c>
      <c r="S18" s="471">
        <f t="shared" si="10"/>
        <v>6.8782287822878319E-2</v>
      </c>
      <c r="T18" s="471">
        <f t="shared" si="10"/>
        <v>8.4456671251719406E-2</v>
      </c>
      <c r="U18" s="471">
        <f t="shared" si="10"/>
        <v>1.2765957446808418E-2</v>
      </c>
      <c r="V18" s="471">
        <f t="shared" si="10"/>
        <v>7.0543374642517698E-3</v>
      </c>
      <c r="W18" s="441">
        <f t="shared" si="10"/>
        <v>4.8025916177363959E-2</v>
      </c>
      <c r="X18" s="344">
        <f t="shared" si="10"/>
        <v>5.1788427012843474E-2</v>
      </c>
      <c r="Y18" s="344">
        <f t="shared" si="10"/>
        <v>3.3231861998985313E-2</v>
      </c>
      <c r="Z18" s="344">
        <f t="shared" si="10"/>
        <v>0.20862257946656926</v>
      </c>
      <c r="AA18" s="344">
        <f t="shared" si="10"/>
        <v>0.13176826959485033</v>
      </c>
      <c r="AB18" s="441">
        <f t="shared" ref="AB18:AG18" si="11">+AB12/W12-1</f>
        <v>9.562999884084844E-2</v>
      </c>
      <c r="AC18" s="38">
        <f t="shared" si="11"/>
        <v>0.13931197478991608</v>
      </c>
      <c r="AD18" s="38">
        <f t="shared" si="11"/>
        <v>9.4770439479499036E-2</v>
      </c>
      <c r="AE18" s="38">
        <f t="shared" si="11"/>
        <v>0.16097339782345821</v>
      </c>
      <c r="AF18" s="38">
        <f>+AF12/AA12-1</f>
        <v>0.10572097691535642</v>
      </c>
      <c r="AG18" s="442">
        <f t="shared" si="11"/>
        <v>0.12448864437861462</v>
      </c>
      <c r="AH18" s="38">
        <f>+AH12/AC12-1</f>
        <v>0.11305750835542216</v>
      </c>
      <c r="AI18" s="38">
        <f>+AI12/AD12-1</f>
        <v>0.14319354115272498</v>
      </c>
      <c r="AJ18" s="38">
        <f>+AJ12/AE12-1</f>
        <v>8.2280953000911206E-2</v>
      </c>
      <c r="AK18" s="38">
        <f>+AK12/AF12-1</f>
        <v>0.21936459909228434</v>
      </c>
      <c r="AL18" s="442">
        <f>+AL12/AG12-1</f>
        <v>0.13610989148842756</v>
      </c>
      <c r="AM18" s="38">
        <f t="shared" ref="AM18:AR18" si="12">+AM12/AH12-1</f>
        <v>0.1917581279768068</v>
      </c>
      <c r="AN18" s="38">
        <f t="shared" si="12"/>
        <v>0.19911721432074536</v>
      </c>
      <c r="AO18" s="38">
        <f t="shared" si="12"/>
        <v>0.16035125706724407</v>
      </c>
      <c r="AP18" s="38">
        <f t="shared" si="12"/>
        <v>0.10570719602977663</v>
      </c>
      <c r="AQ18" s="442">
        <f>+AQ12/AL12-1</f>
        <v>0.16747639816706239</v>
      </c>
      <c r="AR18" s="38">
        <f t="shared" si="12"/>
        <v>7.9322328410078136E-2</v>
      </c>
      <c r="AS18" s="38">
        <f>+AS12/AN12-1</f>
        <v>0.12793456032719841</v>
      </c>
      <c r="AT18" s="38">
        <f>+AT12/AO12-1</f>
        <v>7.8270785817955435E-2</v>
      </c>
      <c r="AU18" s="38">
        <f>+AU12/AP12-1</f>
        <v>0.11894075403949733</v>
      </c>
      <c r="AV18" s="442">
        <f>+AV12/AQ12-1</f>
        <v>0.10148251483697068</v>
      </c>
      <c r="AW18" s="36">
        <f>+(1+AW14)*(1+AW15)-1+AW17</f>
        <v>0.11991750000000012</v>
      </c>
      <c r="AX18" s="36">
        <f>+(1+AX14)*(1+AX15)-1+AX17</f>
        <v>9.4580000000000108E-2</v>
      </c>
      <c r="AY18" s="36">
        <f>+(1+AY14)*(1+AY15)-1+AY17</f>
        <v>0.12498500000000012</v>
      </c>
      <c r="AZ18" s="36">
        <f>+(1+AZ14)*(1+AZ15)-1+AZ17</f>
        <v>0.10978250000000012</v>
      </c>
      <c r="BA18" s="442">
        <f>+BA12/AV12-1</f>
        <v>0.11137960282279713</v>
      </c>
      <c r="BB18" s="36">
        <f>+(1+BB14)*(1+BB15)-1+BB17</f>
        <v>8.4445000000000103E-2</v>
      </c>
      <c r="BC18" s="36">
        <f>+(1+BC14)*(1+BC15)-1+BC17</f>
        <v>8.4445000000000103E-2</v>
      </c>
      <c r="BD18" s="36">
        <f>+(1+BD14)*(1+BD15)-1+BD17</f>
        <v>8.4445000000000103E-2</v>
      </c>
      <c r="BE18" s="36">
        <f>+(1+BE14)*(1+BE15)-1+BE17</f>
        <v>8.4445000000000103E-2</v>
      </c>
      <c r="BF18" s="442">
        <f>+BF12/BA12-1</f>
        <v>8.4445000000000103E-2</v>
      </c>
      <c r="BG18" s="36">
        <f>+(1+BG14)*(1+BG15)-1+BG17</f>
        <v>6.6182499999999811E-2</v>
      </c>
      <c r="BH18" s="36">
        <f>+(1+BH14)*(1+BH15)-1+BH17</f>
        <v>6.6182499999999811E-2</v>
      </c>
      <c r="BI18" s="36">
        <f>+(1+BI14)*(1+BI15)-1+BI17</f>
        <v>6.6182499999999811E-2</v>
      </c>
      <c r="BJ18" s="36">
        <f>+(1+BJ14)*(1+BJ15)-1+BJ17</f>
        <v>6.6182499999999811E-2</v>
      </c>
      <c r="BK18" s="442">
        <f>+BK12/BF12-1</f>
        <v>6.6182499999999811E-2</v>
      </c>
      <c r="BL18" s="36">
        <f>+(1+BL14)*(1+BL15)-1+BL17</f>
        <v>5.8584999999999887E-2</v>
      </c>
      <c r="BM18" s="36">
        <f>+(1+BM14)*(1+BM15)-1+BM17</f>
        <v>5.8584999999999887E-2</v>
      </c>
      <c r="BN18" s="36">
        <f>+(1+BN14)*(1+BN15)-1+BN17</f>
        <v>5.8584999999999887E-2</v>
      </c>
      <c r="BO18" s="36">
        <f>+(1+BO14)*(1+BO15)-1+BO17</f>
        <v>5.8584999999999887E-2</v>
      </c>
      <c r="BP18" s="442">
        <f>+BP12/BK12-1</f>
        <v>5.8584999999999665E-2</v>
      </c>
      <c r="BQ18" s="36">
        <f>+(1+BQ14)*(1+BQ15)-1+BQ17</f>
        <v>5.3520000000000012E-2</v>
      </c>
      <c r="BR18" s="36">
        <f>+(1+BR14)*(1+BR15)-1+BR17</f>
        <v>5.3520000000000012E-2</v>
      </c>
      <c r="BS18" s="36">
        <f>+(1+BS14)*(1+BS15)-1+BS17</f>
        <v>5.3520000000000012E-2</v>
      </c>
      <c r="BT18" s="36">
        <f>+(1+BT14)*(1+BT15)-1+BT17</f>
        <v>5.3520000000000012E-2</v>
      </c>
      <c r="BU18" s="442">
        <f>+BU12/BP12-1</f>
        <v>5.3520000000000234E-2</v>
      </c>
      <c r="BW18" s="678"/>
      <c r="BX18" s="471"/>
      <c r="BY18" s="471"/>
      <c r="BZ18" s="653"/>
      <c r="CA18" s="653"/>
      <c r="CC18" s="470"/>
      <c r="CD18" s="470"/>
      <c r="CE18" s="653"/>
      <c r="CF18" s="642"/>
      <c r="CG18" s="671"/>
      <c r="CH18" s="671"/>
      <c r="CI18" s="671"/>
      <c r="CJ18" s="677"/>
      <c r="CK18" s="671"/>
      <c r="CL18" s="671"/>
      <c r="CM18" s="671"/>
      <c r="CN18" s="489"/>
      <c r="CO18" s="641"/>
    </row>
    <row r="19" spans="1:95" s="309" customFormat="1" x14ac:dyDescent="0.2">
      <c r="A19" s="333" t="s">
        <v>266</v>
      </c>
      <c r="B19" s="303"/>
      <c r="C19" s="303"/>
      <c r="D19" s="324"/>
      <c r="E19" s="324"/>
      <c r="F19" s="324"/>
      <c r="G19" s="324"/>
      <c r="H19" s="432">
        <v>2434.6999999999998</v>
      </c>
      <c r="I19" s="346"/>
      <c r="J19" s="346"/>
      <c r="K19" s="347"/>
      <c r="L19" s="346"/>
      <c r="M19" s="432">
        <v>2557.3000000000002</v>
      </c>
      <c r="N19" s="491">
        <v>635.29999999999995</v>
      </c>
      <c r="O19" s="129">
        <v>690.2</v>
      </c>
      <c r="P19" s="129">
        <v>700.7</v>
      </c>
      <c r="Q19" s="129">
        <v>628.1</v>
      </c>
      <c r="R19" s="432">
        <f>+N19+O19+P19+Q19</f>
        <v>2654.3</v>
      </c>
      <c r="S19" s="472">
        <v>634.79999999999995</v>
      </c>
      <c r="T19" s="472">
        <v>698.5</v>
      </c>
      <c r="U19" s="472">
        <v>766.9</v>
      </c>
      <c r="V19" s="472">
        <v>695.9</v>
      </c>
      <c r="W19" s="432">
        <f>+S19+T19+U19+V19</f>
        <v>2796.1</v>
      </c>
      <c r="X19" s="345">
        <f>1370.4-Y19</f>
        <v>673.40000000000009</v>
      </c>
      <c r="Y19" s="345">
        <v>697</v>
      </c>
      <c r="Z19" s="345">
        <v>781.7</v>
      </c>
      <c r="AA19" s="345">
        <v>693.4</v>
      </c>
      <c r="AB19" s="432">
        <f>+X19+Y19+Z19+AA19</f>
        <v>2845.5000000000005</v>
      </c>
      <c r="AC19" s="324">
        <v>658.3</v>
      </c>
      <c r="AD19" s="324">
        <v>715.8</v>
      </c>
      <c r="AE19" s="324">
        <v>773.4</v>
      </c>
      <c r="AF19" s="324">
        <v>691.9</v>
      </c>
      <c r="AG19" s="464">
        <f>+AC19+AD19+AE19+AF19</f>
        <v>2839.4</v>
      </c>
      <c r="AH19" s="324">
        <v>665.5</v>
      </c>
      <c r="AI19" s="324">
        <v>713.9</v>
      </c>
      <c r="AJ19" s="324">
        <v>809.2</v>
      </c>
      <c r="AK19" s="324">
        <v>737.2</v>
      </c>
      <c r="AL19" s="464">
        <f>+AH19+AI19+AJ19+AK19</f>
        <v>2925.8</v>
      </c>
      <c r="AM19" s="324">
        <v>720.8</v>
      </c>
      <c r="AN19" s="324">
        <v>798.7</v>
      </c>
      <c r="AO19" s="324">
        <v>845.9</v>
      </c>
      <c r="AP19" s="324">
        <v>736.8</v>
      </c>
      <c r="AQ19" s="464">
        <f>+AM19+AN19+AO19+AP19</f>
        <v>3102.2</v>
      </c>
      <c r="AR19" s="324">
        <v>693.2</v>
      </c>
      <c r="AS19" s="324">
        <v>705.6</v>
      </c>
      <c r="AT19" s="324">
        <v>759</v>
      </c>
      <c r="AU19" s="324">
        <v>768.7</v>
      </c>
      <c r="AV19" s="464">
        <f>+AR19+AS19+AT19+AU19</f>
        <v>2926.5</v>
      </c>
      <c r="AW19" s="324">
        <f>+AR19*(1+AW25)</f>
        <v>679.33600000000001</v>
      </c>
      <c r="AX19" s="324">
        <f>+AS19*(1+AX25)</f>
        <v>747.93600000000004</v>
      </c>
      <c r="AY19" s="324">
        <f>+AT19*(1+AY25)</f>
        <v>804.54000000000008</v>
      </c>
      <c r="AZ19" s="324">
        <f>+AU19*(1+AZ25)</f>
        <v>787.91750000000002</v>
      </c>
      <c r="BA19" s="464">
        <f>+AW19+AX19+AY19+AZ19</f>
        <v>3019.7294999999999</v>
      </c>
      <c r="BB19" s="324">
        <f>+AW19*(1+BB25)</f>
        <v>699.71608000000003</v>
      </c>
      <c r="BC19" s="324">
        <f>+AX19*(1+BC25)</f>
        <v>770.37408000000005</v>
      </c>
      <c r="BD19" s="324">
        <f>+AY19*(1+BD25)</f>
        <v>828.67620000000011</v>
      </c>
      <c r="BE19" s="324">
        <f>+AZ19*(1+BE25)</f>
        <v>811.555025</v>
      </c>
      <c r="BF19" s="464">
        <f>+BB19+BC19+BD19+BE19</f>
        <v>3110.3213850000006</v>
      </c>
      <c r="BG19" s="324">
        <f>+BB19*(1+BG25)</f>
        <v>720.70756240000003</v>
      </c>
      <c r="BH19" s="324">
        <f>+BC19*(1+BH25)</f>
        <v>793.48530240000002</v>
      </c>
      <c r="BI19" s="324">
        <f>+BD19*(1+BI25)</f>
        <v>853.53648600000008</v>
      </c>
      <c r="BJ19" s="324">
        <f>+BE19*(1+BJ25)</f>
        <v>835.90167574999998</v>
      </c>
      <c r="BK19" s="464">
        <f>+BG19+BH19+BI19+BJ19</f>
        <v>3203.6310265500001</v>
      </c>
      <c r="BL19" s="324">
        <f>+BG19*(1+BL25)</f>
        <v>742.32878927199999</v>
      </c>
      <c r="BM19" s="324">
        <f>+BH19*(1+BM25)</f>
        <v>817.2898614720001</v>
      </c>
      <c r="BN19" s="324">
        <f>+BI19*(1+BN25)</f>
        <v>879.14258058000007</v>
      </c>
      <c r="BO19" s="324">
        <f>+BJ19*(1+BO25)</f>
        <v>860.97872602250004</v>
      </c>
      <c r="BP19" s="464">
        <f>+BL19+BM19+BN19+BO19</f>
        <v>3299.7399573465</v>
      </c>
      <c r="BQ19" s="324">
        <f>+BL19*(1+BQ25)</f>
        <v>762.74283097698003</v>
      </c>
      <c r="BR19" s="324">
        <f>+BM19*(1+BR25)</f>
        <v>839.7653326624802</v>
      </c>
      <c r="BS19" s="324">
        <f>+BN19*(1+BS25)</f>
        <v>903.31900154595019</v>
      </c>
      <c r="BT19" s="324">
        <f>+BO19*(1+BT25)</f>
        <v>884.65564098811888</v>
      </c>
      <c r="BU19" s="464">
        <f>+BQ19+BR19+BS19+BT19</f>
        <v>3390.4828061735288</v>
      </c>
      <c r="BW19" s="670"/>
      <c r="BX19" s="467"/>
      <c r="BY19" s="467"/>
      <c r="BZ19" s="662"/>
      <c r="CA19" s="663"/>
      <c r="CC19" s="467"/>
      <c r="CD19" s="467"/>
      <c r="CE19" s="662"/>
      <c r="CF19" s="642"/>
      <c r="CG19" s="671"/>
      <c r="CH19" s="671"/>
      <c r="CI19" s="671"/>
      <c r="CJ19" s="647"/>
      <c r="CK19" s="671"/>
      <c r="CL19" s="671"/>
      <c r="CM19" s="671"/>
      <c r="CN19" s="489"/>
      <c r="CO19" s="682"/>
    </row>
    <row r="20" spans="1:95" s="309" customFormat="1" x14ac:dyDescent="0.2">
      <c r="A20" s="332" t="s">
        <v>211</v>
      </c>
      <c r="B20" s="72"/>
      <c r="C20" s="72"/>
      <c r="D20" s="325"/>
      <c r="E20" s="325"/>
      <c r="F20" s="325"/>
      <c r="G20" s="325"/>
      <c r="H20" s="442"/>
      <c r="I20" s="325"/>
      <c r="J20" s="325"/>
      <c r="K20" s="325"/>
      <c r="L20" s="325"/>
      <c r="M20" s="442">
        <v>0.04</v>
      </c>
      <c r="N20" s="492"/>
      <c r="O20" s="492"/>
      <c r="P20" s="492"/>
      <c r="Q20" s="492"/>
      <c r="R20" s="442">
        <v>-0.01</v>
      </c>
      <c r="S20" s="473">
        <f>+S25-S23-S24</f>
        <v>-1.1333228396033386E-2</v>
      </c>
      <c r="T20" s="473">
        <f>+T25-T23-T24</f>
        <v>2.6108374384235557E-3</v>
      </c>
      <c r="U20" s="473">
        <f>+U25-U23-U24</f>
        <v>5.5077779363493631E-2</v>
      </c>
      <c r="V20" s="473">
        <f>+V25-V23-V24</f>
        <v>8.4381467919120989E-2</v>
      </c>
      <c r="W20" s="443">
        <f>+W25-W23-W24</f>
        <v>3.2513280337565301E-2</v>
      </c>
      <c r="X20" s="336">
        <f t="shared" ref="X20:AC20" si="13">+X25-X23-X24</f>
        <v>3.8279773156899982E-2</v>
      </c>
      <c r="Y20" s="336">
        <f t="shared" si="13"/>
        <v>-8.3035075161059773E-3</v>
      </c>
      <c r="Z20" s="336">
        <f t="shared" si="13"/>
        <v>2.929847437736343E-2</v>
      </c>
      <c r="AA20" s="336">
        <f t="shared" si="13"/>
        <v>6.4075298175024688E-3</v>
      </c>
      <c r="AB20" s="443">
        <f>+AB25-AB23-AB24</f>
        <v>1.6246915346375436E-2</v>
      </c>
      <c r="AC20" s="52">
        <f t="shared" si="13"/>
        <v>-1.2423522423522635E-2</v>
      </c>
      <c r="AD20" s="52">
        <f t="shared" ref="AD20:AI20" si="14">+AD25-AD23-AD24</f>
        <v>3.1972740315638341E-2</v>
      </c>
      <c r="AE20" s="52">
        <f t="shared" si="14"/>
        <v>-6.1788409875918916E-4</v>
      </c>
      <c r="AF20" s="52">
        <f t="shared" si="14"/>
        <v>1.7836746466685854E-2</v>
      </c>
      <c r="AG20" s="465">
        <f t="shared" si="14"/>
        <v>9.0683535406780869E-3</v>
      </c>
      <c r="AH20" s="52">
        <f t="shared" si="14"/>
        <v>4.0937262646210087E-2</v>
      </c>
      <c r="AI20" s="52">
        <f t="shared" si="14"/>
        <v>2.6036881810561682E-2</v>
      </c>
      <c r="AJ20" s="52">
        <f>+AJ25-AJ23-AJ24</f>
        <v>3.1422291181794695E-2</v>
      </c>
      <c r="AK20" s="52">
        <f>+AK25-AK23-AK24</f>
        <v>3.5452955629426311E-2</v>
      </c>
      <c r="AL20" s="465">
        <f>SUMPRODUCT(AH$20:AK$20,AC$19:AF$19)/AG$19</f>
        <v>3.3252835106008391E-2</v>
      </c>
      <c r="AM20" s="52">
        <f>+AM25-AM23-AM24</f>
        <v>3.2689706987227604E-2</v>
      </c>
      <c r="AN20" s="52">
        <f>+AN25-AN23-AN24</f>
        <v>8.2364476817481574E-2</v>
      </c>
      <c r="AO20" s="52">
        <f>+AO25-AO23-AO24</f>
        <v>1.3840830449826869E-2</v>
      </c>
      <c r="AP20" s="490">
        <f>+(AP19-13.5-18.8)/(AK19-62.6)-1</f>
        <v>4.4322561517936565E-2</v>
      </c>
      <c r="AQ20" s="465">
        <f>SUMPRODUCT(AM$20:AP$20,AH$19:AK$19)/AL$19</f>
        <v>4.2528399873888442E-2</v>
      </c>
      <c r="AR20" s="490">
        <f>+(AR19-13.2-13.7)/(AM19-89.6)-1</f>
        <v>5.5608365019011341E-2</v>
      </c>
      <c r="AS20" s="490">
        <f>+(AS19-13.6)/(AN19-100.1)-1</f>
        <v>-9.4474663612940102E-3</v>
      </c>
      <c r="AT20" s="490">
        <f>+(AT19-9.9)/(AO19-98.9)-1</f>
        <v>2.8112449799198025E-3</v>
      </c>
      <c r="AU20" s="490">
        <f>+(AU19)/(AP19-22.6)-1</f>
        <v>7.630915709885211E-2</v>
      </c>
      <c r="AV20" s="465">
        <f>SUMPRODUCT(AR$20:AU$20,AM$19:AP$19)/AQ$19</f>
        <v>2.9378968861416492E-2</v>
      </c>
      <c r="AW20" s="36">
        <f>+(1+AW21)*(1+AW22)-1</f>
        <v>-2.0000000000000018E-2</v>
      </c>
      <c r="AX20" s="36">
        <f>+(1+AX21)*(1+AX22)-1</f>
        <v>6.0799999999999965E-2</v>
      </c>
      <c r="AY20" s="36">
        <f>+(1+AY21)*(1+AY22)-1</f>
        <v>6.0799999999999965E-2</v>
      </c>
      <c r="AZ20" s="36">
        <f>+(1+AZ21)*(1+AZ22)-1</f>
        <v>2.50999999999999E-2</v>
      </c>
      <c r="BA20" s="465">
        <f>SUMPRODUCT(AW$20:AZ$20,AR$19:AU$19)/AV$19</f>
        <v>3.2283632325303221E-2</v>
      </c>
      <c r="BB20" s="36">
        <f>+(1+BB21)*(1+BB22)-1</f>
        <v>3.0200000000000005E-2</v>
      </c>
      <c r="BC20" s="36">
        <f>+(1+BC21)*(1+BC22)-1</f>
        <v>3.0200000000000005E-2</v>
      </c>
      <c r="BD20" s="36">
        <f>+(1+BD21)*(1+BD22)-1</f>
        <v>3.0200000000000005E-2</v>
      </c>
      <c r="BE20" s="36">
        <f>+(1+BE21)*(1+BE22)-1</f>
        <v>3.0200000000000005E-2</v>
      </c>
      <c r="BF20" s="465">
        <f>SUMPRODUCT(BB$20:BE$20,AW$19:AZ$19)/BA$19</f>
        <v>3.0200000000000012E-2</v>
      </c>
      <c r="BG20" s="36">
        <f>+(1+BG21)*(1+BG22)-1</f>
        <v>3.0200000000000005E-2</v>
      </c>
      <c r="BH20" s="36">
        <f>+(1+BH21)*(1+BH22)-1</f>
        <v>3.0200000000000005E-2</v>
      </c>
      <c r="BI20" s="36">
        <f>+(1+BI21)*(1+BI22)-1</f>
        <v>3.0200000000000005E-2</v>
      </c>
      <c r="BJ20" s="36">
        <f>+(1+BJ21)*(1+BJ22)-1</f>
        <v>3.0200000000000005E-2</v>
      </c>
      <c r="BK20" s="465">
        <f>SUMPRODUCT(BG$20:BJ$20,BB$19:BE$19)/BF$19</f>
        <v>3.0199999999999998E-2</v>
      </c>
      <c r="BL20" s="36">
        <f>+(1+BL21)*(1+BL22)-1</f>
        <v>3.0200000000000005E-2</v>
      </c>
      <c r="BM20" s="36">
        <f>+(1+BM21)*(1+BM22)-1</f>
        <v>3.0200000000000005E-2</v>
      </c>
      <c r="BN20" s="36">
        <f>+(1+BN21)*(1+BN22)-1</f>
        <v>3.0200000000000005E-2</v>
      </c>
      <c r="BO20" s="36">
        <f>+(1+BO21)*(1+BO22)-1</f>
        <v>3.0200000000000005E-2</v>
      </c>
      <c r="BP20" s="465">
        <f>SUMPRODUCT(BL$20:BO$20,BG$19:BJ$19)/BK$19</f>
        <v>3.0200000000000005E-2</v>
      </c>
      <c r="BQ20" s="36">
        <f>+(1+BQ21)*(1+BQ22)-1</f>
        <v>2.7675000000000116E-2</v>
      </c>
      <c r="BR20" s="36">
        <f>+(1+BR21)*(1+BR22)-1</f>
        <v>2.7675000000000116E-2</v>
      </c>
      <c r="BS20" s="36">
        <f>+(1+BS21)*(1+BS22)-1</f>
        <v>2.7675000000000116E-2</v>
      </c>
      <c r="BT20" s="36">
        <f>+(1+BT21)*(1+BT22)-1</f>
        <v>2.7675000000000116E-2</v>
      </c>
      <c r="BU20" s="465">
        <f>SUMPRODUCT(BQ$20:BT$20,BL$19:BO$19)/BP$19</f>
        <v>2.7675000000000116E-2</v>
      </c>
      <c r="BW20" s="638"/>
      <c r="BX20" s="471"/>
      <c r="BY20" s="471"/>
      <c r="BZ20" s="667"/>
      <c r="CA20" s="653"/>
      <c r="CC20" s="471"/>
      <c r="CD20" s="471"/>
      <c r="CE20" s="667"/>
      <c r="CF20" s="642"/>
      <c r="CG20" s="676"/>
      <c r="CH20" s="676"/>
      <c r="CI20" s="676"/>
      <c r="CJ20" s="671"/>
      <c r="CK20" s="671"/>
      <c r="CL20" s="671"/>
      <c r="CM20" s="671"/>
      <c r="CN20" s="489"/>
      <c r="CO20" s="673"/>
    </row>
    <row r="21" spans="1:95" s="309" customFormat="1" x14ac:dyDescent="0.2">
      <c r="A21" s="337" t="s">
        <v>236</v>
      </c>
      <c r="B21" s="72"/>
      <c r="C21" s="72"/>
      <c r="D21" s="325"/>
      <c r="E21" s="325"/>
      <c r="F21" s="325"/>
      <c r="G21" s="325"/>
      <c r="H21" s="443"/>
      <c r="I21" s="325"/>
      <c r="J21" s="325"/>
      <c r="K21" s="325"/>
      <c r="L21" s="325"/>
      <c r="M21" s="443">
        <v>3.4000000000000002E-2</v>
      </c>
      <c r="N21" s="492"/>
      <c r="O21" s="492"/>
      <c r="P21" s="492"/>
      <c r="Q21" s="492"/>
      <c r="R21" s="443">
        <f>+R76</f>
        <v>-2.8301886792452935E-2</v>
      </c>
      <c r="S21" s="473">
        <f>+S76</f>
        <v>-2.6490066225165476E-2</v>
      </c>
      <c r="T21" s="473">
        <f t="shared" ref="T21:AA21" si="15">+T76</f>
        <v>2.5477707006369643E-2</v>
      </c>
      <c r="U21" s="473">
        <f>+U76</f>
        <v>4.3749999999999956E-2</v>
      </c>
      <c r="V21" s="473">
        <f>+V76</f>
        <v>5.3333333333333455E-2</v>
      </c>
      <c r="W21" s="443">
        <f>+W76</f>
        <v>3.2626427406198921E-2</v>
      </c>
      <c r="X21" s="336">
        <f t="shared" si="15"/>
        <v>4.7297297297297147E-2</v>
      </c>
      <c r="Y21" s="336">
        <f t="shared" si="15"/>
        <v>1.2269938650306678E-2</v>
      </c>
      <c r="Z21" s="336">
        <f t="shared" si="15"/>
        <v>4.1176470588235148E-2</v>
      </c>
      <c r="AA21" s="336">
        <f t="shared" si="15"/>
        <v>4.3478260869565188E-2</v>
      </c>
      <c r="AB21" s="443">
        <f>+AB76</f>
        <v>3.5825545171339623E-2</v>
      </c>
      <c r="AC21" s="52">
        <f>+AC75</f>
        <v>-3.8216560509554132E-2</v>
      </c>
      <c r="AD21" s="52">
        <f>+AD75</f>
        <v>1.2048192771084265E-2</v>
      </c>
      <c r="AE21" s="52">
        <f>+AE75</f>
        <v>1.6949152542372836E-2</v>
      </c>
      <c r="AF21" s="52">
        <f>+AF75</f>
        <v>-4.166666666666663E-2</v>
      </c>
      <c r="AG21" s="465">
        <f>+AG75</f>
        <v>-1.19760479041916E-2</v>
      </c>
      <c r="AH21" s="52">
        <v>0.04</v>
      </c>
      <c r="AI21" s="52">
        <v>1.2E-2</v>
      </c>
      <c r="AJ21" s="52">
        <v>6.0000000000000001E-3</v>
      </c>
      <c r="AK21" s="52">
        <v>4.2999999999999997E-2</v>
      </c>
      <c r="AL21" s="465">
        <f>SUMPRODUCT(AH$21:AK$21,AC$19:AF$19)/AG$19</f>
        <v>2.4411389730224695E-2</v>
      </c>
      <c r="AM21" s="52">
        <v>2.5000000000000001E-2</v>
      </c>
      <c r="AN21" s="52">
        <v>5.8999999999999997E-2</v>
      </c>
      <c r="AO21" s="52">
        <v>-1.12E-2</v>
      </c>
      <c r="AP21" s="52">
        <v>6.5500000000000003E-2</v>
      </c>
      <c r="AQ21" s="465">
        <f>SUMPRODUCT(AM$21:AP$21,AH$19:AK$19)/AL$19</f>
        <v>3.3488673183402831E-2</v>
      </c>
      <c r="AR21" s="52">
        <v>7.0000000000000001E-3</v>
      </c>
      <c r="AS21" s="52">
        <v>-1.4E-2</v>
      </c>
      <c r="AT21" s="52">
        <v>-3.3000000000000002E-2</v>
      </c>
      <c r="AU21" s="52">
        <v>-6.0000000000000001E-3</v>
      </c>
      <c r="AV21" s="465">
        <f>SUMPRODUCT(AR$21:AU$21,AM$19:AP$19)/AQ$19</f>
        <v>-1.2401424795306556E-2</v>
      </c>
      <c r="AW21" s="68">
        <v>0</v>
      </c>
      <c r="AX21" s="68">
        <v>0.02</v>
      </c>
      <c r="AY21" s="68">
        <v>0.04</v>
      </c>
      <c r="AZ21" s="68">
        <v>0.02</v>
      </c>
      <c r="BA21" s="465">
        <f>SUMPRODUCT(AW$21:AZ$21,AR$19:AU$19)/AV$19</f>
        <v>2.0449683922774648E-2</v>
      </c>
      <c r="BB21" s="68">
        <v>0.01</v>
      </c>
      <c r="BC21" s="68">
        <v>0.01</v>
      </c>
      <c r="BD21" s="68">
        <v>0.01</v>
      </c>
      <c r="BE21" s="68">
        <v>0.01</v>
      </c>
      <c r="BF21" s="465">
        <f>SUMPRODUCT(BB$21:BE$21,AW$19:AZ$19)/BA$19</f>
        <v>0.01</v>
      </c>
      <c r="BG21" s="68">
        <v>0.01</v>
      </c>
      <c r="BH21" s="68">
        <v>0.01</v>
      </c>
      <c r="BI21" s="68">
        <v>0.01</v>
      </c>
      <c r="BJ21" s="68">
        <v>0.01</v>
      </c>
      <c r="BK21" s="465">
        <f>SUMPRODUCT(BG$21:BJ$21,BB$19:BE$19)/BF$19</f>
        <v>9.9999999999999985E-3</v>
      </c>
      <c r="BL21" s="68">
        <v>0.02</v>
      </c>
      <c r="BM21" s="68">
        <v>0.02</v>
      </c>
      <c r="BN21" s="68">
        <v>0.02</v>
      </c>
      <c r="BO21" s="68">
        <v>0.02</v>
      </c>
      <c r="BP21" s="465">
        <f>SUMPRODUCT(BL$21:BO$21,BG$19:BJ$19)/BK$19</f>
        <v>0.02</v>
      </c>
      <c r="BQ21" s="68">
        <v>1.7500000000000002E-2</v>
      </c>
      <c r="BR21" s="68">
        <v>1.7500000000000002E-2</v>
      </c>
      <c r="BS21" s="68">
        <v>1.7500000000000002E-2</v>
      </c>
      <c r="BT21" s="68">
        <v>1.7500000000000002E-2</v>
      </c>
      <c r="BU21" s="465">
        <f>SUMPRODUCT(BQ$21:BT$21,BL$19:BO$19)/BP$19</f>
        <v>1.7500000000000005E-2</v>
      </c>
      <c r="BX21" s="471"/>
      <c r="BY21" s="471"/>
      <c r="BZ21" s="653"/>
      <c r="CA21" s="653"/>
      <c r="CC21" s="470"/>
      <c r="CD21" s="470"/>
      <c r="CE21" s="653"/>
      <c r="CF21" s="642"/>
      <c r="CG21" s="671"/>
      <c r="CH21" s="671"/>
      <c r="CI21" s="671"/>
      <c r="CJ21" s="671"/>
      <c r="CK21" s="671"/>
      <c r="CL21" s="671"/>
      <c r="CM21" s="671"/>
      <c r="CN21" s="489"/>
      <c r="CO21" s="683"/>
    </row>
    <row r="22" spans="1:95" s="309" customFormat="1" x14ac:dyDescent="0.2">
      <c r="A22" s="337" t="s">
        <v>190</v>
      </c>
      <c r="B22" s="72"/>
      <c r="C22" s="72"/>
      <c r="D22" s="325"/>
      <c r="E22" s="325"/>
      <c r="F22" s="325"/>
      <c r="G22" s="325"/>
      <c r="H22" s="443"/>
      <c r="I22" s="325"/>
      <c r="J22" s="325"/>
      <c r="K22" s="325"/>
      <c r="L22" s="325"/>
      <c r="M22" s="443">
        <f>+M20-M21</f>
        <v>5.9999999999999984E-3</v>
      </c>
      <c r="N22" s="492"/>
      <c r="O22" s="492"/>
      <c r="P22" s="492"/>
      <c r="Q22" s="492"/>
      <c r="R22" s="443">
        <f t="shared" ref="R22:W22" si="16">+R20-R21</f>
        <v>1.8301886792452933E-2</v>
      </c>
      <c r="S22" s="473">
        <f t="shared" si="16"/>
        <v>1.5156837829132091E-2</v>
      </c>
      <c r="T22" s="473">
        <f t="shared" si="16"/>
        <v>-2.2866869567946087E-2</v>
      </c>
      <c r="U22" s="473">
        <f t="shared" si="16"/>
        <v>1.1327779363493676E-2</v>
      </c>
      <c r="V22" s="473">
        <f t="shared" si="16"/>
        <v>3.1048134585787535E-2</v>
      </c>
      <c r="W22" s="443">
        <f t="shared" si="16"/>
        <v>-1.1314706863362056E-4</v>
      </c>
      <c r="X22" s="336">
        <f t="shared" ref="X22:AD22" si="17">+X20-X21</f>
        <v>-9.0175241403971651E-3</v>
      </c>
      <c r="Y22" s="336">
        <f t="shared" si="17"/>
        <v>-2.0573446166412657E-2</v>
      </c>
      <c r="Z22" s="336">
        <f t="shared" si="17"/>
        <v>-1.1877996210871718E-2</v>
      </c>
      <c r="AA22" s="336">
        <f t="shared" si="17"/>
        <v>-3.7070731052062718E-2</v>
      </c>
      <c r="AB22" s="443">
        <f>+AB20-AB21</f>
        <v>-1.9578629824964187E-2</v>
      </c>
      <c r="AC22" s="52">
        <f t="shared" si="17"/>
        <v>2.5793038086031499E-2</v>
      </c>
      <c r="AD22" s="52">
        <f t="shared" si="17"/>
        <v>1.9924547544554076E-2</v>
      </c>
      <c r="AE22" s="52">
        <f>+AE20-AE21</f>
        <v>-1.7567036641132024E-2</v>
      </c>
      <c r="AF22" s="52">
        <f>+AF20-AF21</f>
        <v>5.9503413133352487E-2</v>
      </c>
      <c r="AG22" s="465">
        <f>+AG20-AG21</f>
        <v>2.1044401444869687E-2</v>
      </c>
      <c r="AH22" s="52">
        <f>+(1+AH20)/(1+AH21)-1</f>
        <v>9.0121408289434157E-4</v>
      </c>
      <c r="AI22" s="52">
        <f>+(1+AI20)/(1+AI21)-1</f>
        <v>1.3870436571701283E-2</v>
      </c>
      <c r="AJ22" s="52">
        <f>+(1+AJ20)/(1+AJ21)-1</f>
        <v>2.5270667178722395E-2</v>
      </c>
      <c r="AK22" s="52">
        <f>+(1+AK20)/(1+AK21)-1</f>
        <v>-7.2359006429277839E-3</v>
      </c>
      <c r="AL22" s="465">
        <f>SUMPRODUCT(AH$22:AK$22,AC$19:AF$19)/AG$19</f>
        <v>8.8256469923136179E-3</v>
      </c>
      <c r="AM22" s="52">
        <f>+(1+AM20)/(1+AM21)-1</f>
        <v>7.5021531582708523E-3</v>
      </c>
      <c r="AN22" s="52">
        <f>+(1+AN20)/(1+AN21)-1</f>
        <v>2.2062773198755048E-2</v>
      </c>
      <c r="AO22" s="52">
        <f>+(1+AO20)/(1+AO21)-1</f>
        <v>2.532446445168568E-2</v>
      </c>
      <c r="AP22" s="52">
        <f>+(1+AP20)/(1+AP21)-1</f>
        <v>-1.987558750076357E-2</v>
      </c>
      <c r="AQ22" s="465">
        <f>SUMPRODUCT(AM$22:AP$22,AH$19:AK$19)/AL$19</f>
        <v>9.0859150461964668E-3</v>
      </c>
      <c r="AR22" s="52">
        <f>+(1+AR20)/(1+AR21)-1</f>
        <v>4.8270471716992613E-2</v>
      </c>
      <c r="AS22" s="52">
        <f>+(1+AS20)/(1+AS21)-1</f>
        <v>4.6171740757667834E-3</v>
      </c>
      <c r="AT22" s="52">
        <f>+(1+AT20)/(1+AT21)-1</f>
        <v>3.7033345377373239E-2</v>
      </c>
      <c r="AU22" s="52">
        <f>+(1+AU20)/(1+AU21)-1</f>
        <v>8.2805993057195382E-2</v>
      </c>
      <c r="AV22" s="465">
        <f>SUMPRODUCT(AR$22:AU$22,AM$19:AP$19)/AQ$19</f>
        <v>4.2169768386043707E-2</v>
      </c>
      <c r="AW22" s="64">
        <v>-0.02</v>
      </c>
      <c r="AX22" s="64">
        <v>0.04</v>
      </c>
      <c r="AY22" s="64">
        <v>0.02</v>
      </c>
      <c r="AZ22" s="64">
        <v>5.0000000000000001E-3</v>
      </c>
      <c r="BA22" s="465">
        <f>SUMPRODUCT(AW$22:AZ$22,AR$19:AU$19)/AV$19</f>
        <v>1.1407312489321714E-2</v>
      </c>
      <c r="BB22" s="64">
        <v>0.02</v>
      </c>
      <c r="BC22" s="64">
        <v>0.02</v>
      </c>
      <c r="BD22" s="64">
        <v>0.02</v>
      </c>
      <c r="BE22" s="64">
        <v>0.02</v>
      </c>
      <c r="BF22" s="465">
        <f>SUMPRODUCT(BB$22:BE$22,AW$19:AZ$19)/BA$19</f>
        <v>0.02</v>
      </c>
      <c r="BG22" s="64">
        <v>0.02</v>
      </c>
      <c r="BH22" s="64">
        <v>0.02</v>
      </c>
      <c r="BI22" s="64">
        <v>0.02</v>
      </c>
      <c r="BJ22" s="64">
        <v>0.02</v>
      </c>
      <c r="BK22" s="465">
        <f>SUMPRODUCT(BG$22:BJ$22,BB$19:BE$19)/BF$19</f>
        <v>1.9999999999999997E-2</v>
      </c>
      <c r="BL22" s="68">
        <v>0.01</v>
      </c>
      <c r="BM22" s="68">
        <v>0.01</v>
      </c>
      <c r="BN22" s="68">
        <v>0.01</v>
      </c>
      <c r="BO22" s="68">
        <v>0.01</v>
      </c>
      <c r="BP22" s="465">
        <f>SUMPRODUCT(BL$22:BO$22,BG$19:BJ$19)/BK$19</f>
        <v>0.01</v>
      </c>
      <c r="BQ22" s="68">
        <v>0.01</v>
      </c>
      <c r="BR22" s="68">
        <v>0.01</v>
      </c>
      <c r="BS22" s="68">
        <v>0.01</v>
      </c>
      <c r="BT22" s="68">
        <v>0.01</v>
      </c>
      <c r="BU22" s="465">
        <f>SUMPRODUCT(BQ$22:BT$22,BL$19:BO$19)/BP$19</f>
        <v>0.01</v>
      </c>
      <c r="BW22" s="482"/>
      <c r="BX22" s="471"/>
      <c r="BY22" s="471"/>
      <c r="BZ22" s="653"/>
      <c r="CA22" s="653"/>
      <c r="CC22" s="470"/>
      <c r="CD22" s="470"/>
      <c r="CE22" s="653"/>
      <c r="CF22" s="642"/>
      <c r="CG22" s="671"/>
      <c r="CH22" s="671"/>
      <c r="CI22" s="671"/>
      <c r="CJ22" s="671"/>
      <c r="CK22" s="671"/>
      <c r="CL22" s="671"/>
      <c r="CM22" s="671"/>
      <c r="CN22" s="489"/>
      <c r="CO22" s="683"/>
      <c r="CP22" s="643"/>
      <c r="CQ22" s="638"/>
    </row>
    <row r="23" spans="1:95" s="309" customFormat="1" x14ac:dyDescent="0.2">
      <c r="A23" s="332" t="s">
        <v>219</v>
      </c>
      <c r="B23" s="72"/>
      <c r="C23" s="72"/>
      <c r="D23" s="325"/>
      <c r="E23" s="325"/>
      <c r="F23" s="325"/>
      <c r="G23" s="325"/>
      <c r="H23" s="442"/>
      <c r="I23" s="325"/>
      <c r="J23" s="325"/>
      <c r="K23" s="325"/>
      <c r="L23" s="325"/>
      <c r="M23" s="442"/>
      <c r="N23" s="492"/>
      <c r="O23" s="492"/>
      <c r="P23" s="492"/>
      <c r="Q23" s="492"/>
      <c r="R23" s="442">
        <v>0.01</v>
      </c>
      <c r="S23" s="474">
        <v>0</v>
      </c>
      <c r="T23" s="474">
        <v>-0.01</v>
      </c>
      <c r="U23" s="474">
        <v>0.01</v>
      </c>
      <c r="V23" s="474">
        <v>0</v>
      </c>
      <c r="W23" s="444">
        <v>0</v>
      </c>
      <c r="X23" s="336">
        <v>0</v>
      </c>
      <c r="Y23" s="336">
        <v>0</v>
      </c>
      <c r="Z23" s="336">
        <v>-0.01</v>
      </c>
      <c r="AA23" s="336">
        <v>-0.01</v>
      </c>
      <c r="AB23" s="443">
        <f>SUMPRODUCT(X$23:AA$23,S$19:V$19)/W$19</f>
        <v>-5.2315725474768428E-3</v>
      </c>
      <c r="AC23" s="52">
        <v>-0.01</v>
      </c>
      <c r="AD23" s="52">
        <v>-5.0000000000000001E-3</v>
      </c>
      <c r="AE23" s="52">
        <v>-0.01</v>
      </c>
      <c r="AF23" s="52">
        <v>-0.02</v>
      </c>
      <c r="AG23" s="465">
        <f>SUMPRODUCT(AC$23:AF$23,X$19:AA$19)/AB$19</f>
        <v>-1.121208926374978E-2</v>
      </c>
      <c r="AH23" s="52">
        <v>-0.03</v>
      </c>
      <c r="AI23" s="52">
        <v>-3.4000000000000002E-2</v>
      </c>
      <c r="AJ23" s="52">
        <v>-0.03</v>
      </c>
      <c r="AK23" s="52">
        <v>-2.1000000000000001E-2</v>
      </c>
      <c r="AL23" s="465">
        <f>SUMPRODUCT(AH$23:AK$23,AC$19:AF$19)/AG$19</f>
        <v>-2.8815277875607517E-2</v>
      </c>
      <c r="AM23" s="52">
        <v>-0.01</v>
      </c>
      <c r="AN23" s="52">
        <v>0</v>
      </c>
      <c r="AO23" s="52">
        <v>0</v>
      </c>
      <c r="AP23" s="52">
        <v>0</v>
      </c>
      <c r="AQ23" s="465">
        <f>SUMPRODUCT(AM$23:AP$23,AH$19:AK$19)/AL$19</f>
        <v>-2.274591564700253E-3</v>
      </c>
      <c r="AR23" s="52">
        <v>0</v>
      </c>
      <c r="AS23" s="36">
        <v>0</v>
      </c>
      <c r="AT23" s="36">
        <f>+AT9*(AO6/AO19)</f>
        <v>-2.8165000783376542E-4</v>
      </c>
      <c r="AU23" s="36">
        <f>+AU9*(AP6/AP19)</f>
        <v>6.755153604506884E-6</v>
      </c>
      <c r="AV23" s="465">
        <f>SUMPRODUCT(AR$23:AU$23,AM$19:AP$19)/AQ$19</f>
        <v>-7.5195198391716047E-5</v>
      </c>
      <c r="AW23" s="36">
        <v>0</v>
      </c>
      <c r="AX23" s="36">
        <v>0</v>
      </c>
      <c r="AY23" s="36">
        <v>0</v>
      </c>
      <c r="AZ23" s="36">
        <v>0</v>
      </c>
      <c r="BA23" s="465">
        <f>SUMPRODUCT(AW$23:AZ$23,AR$19:AU$19)/AV$19</f>
        <v>0</v>
      </c>
      <c r="BB23" s="36">
        <v>0</v>
      </c>
      <c r="BC23" s="36">
        <v>0</v>
      </c>
      <c r="BD23" s="36">
        <v>0</v>
      </c>
      <c r="BE23" s="36">
        <v>0</v>
      </c>
      <c r="BF23" s="465">
        <f>SUMPRODUCT(BB$23:BE$23,AW$19:AZ$19)/BA$19</f>
        <v>0</v>
      </c>
      <c r="BG23" s="52">
        <v>0</v>
      </c>
      <c r="BH23" s="52">
        <v>0</v>
      </c>
      <c r="BI23" s="52">
        <v>0</v>
      </c>
      <c r="BJ23" s="52">
        <v>0</v>
      </c>
      <c r="BK23" s="465">
        <f>SUMPRODUCT(BG$23:BJ$23,BB$19:BE$19)/BF$19</f>
        <v>0</v>
      </c>
      <c r="BL23" s="52">
        <v>0</v>
      </c>
      <c r="BM23" s="52">
        <v>0</v>
      </c>
      <c r="BN23" s="52">
        <v>0</v>
      </c>
      <c r="BO23" s="52">
        <v>0</v>
      </c>
      <c r="BP23" s="465">
        <f>SUMPRODUCT(BL$23:BO$23,BG$19:BJ$19)/BK$19</f>
        <v>0</v>
      </c>
      <c r="BQ23" s="52">
        <v>0</v>
      </c>
      <c r="BR23" s="52">
        <v>0</v>
      </c>
      <c r="BS23" s="52">
        <v>0</v>
      </c>
      <c r="BT23" s="52">
        <v>0</v>
      </c>
      <c r="BU23" s="465">
        <f>SUMPRODUCT(BQ$23:BT$23,BL$19:BO$19)/BP$19</f>
        <v>0</v>
      </c>
      <c r="BW23" s="674"/>
      <c r="BX23" s="471"/>
      <c r="BY23" s="471"/>
      <c r="BZ23" s="653"/>
      <c r="CA23" s="653"/>
      <c r="CC23" s="470"/>
      <c r="CD23" s="470"/>
      <c r="CE23" s="653"/>
      <c r="CF23" s="642"/>
      <c r="CG23" s="671"/>
      <c r="CH23" s="671"/>
      <c r="CI23" s="671"/>
      <c r="CJ23" s="671"/>
      <c r="CK23" s="671"/>
      <c r="CL23" s="671"/>
      <c r="CM23" s="671"/>
      <c r="CN23" s="489"/>
      <c r="CO23" s="482"/>
    </row>
    <row r="24" spans="1:95" s="309" customFormat="1" x14ac:dyDescent="0.2">
      <c r="A24" s="332" t="s">
        <v>258</v>
      </c>
      <c r="B24" s="72"/>
      <c r="C24" s="72"/>
      <c r="D24" s="325"/>
      <c r="E24" s="325"/>
      <c r="F24" s="325"/>
      <c r="G24" s="325"/>
      <c r="H24" s="442"/>
      <c r="I24" s="325"/>
      <c r="J24" s="325"/>
      <c r="K24" s="325"/>
      <c r="L24" s="325"/>
      <c r="M24" s="442"/>
      <c r="N24" s="492"/>
      <c r="O24" s="492"/>
      <c r="P24" s="492"/>
      <c r="Q24" s="492"/>
      <c r="R24" s="442">
        <f>8.6/M19</f>
        <v>3.3629218316192856E-3</v>
      </c>
      <c r="S24" s="475">
        <f>6.7/N19</f>
        <v>1.0546198646308831E-2</v>
      </c>
      <c r="T24" s="475">
        <f>(7.3+6.1)/O19</f>
        <v>1.941466241669081E-2</v>
      </c>
      <c r="U24" s="475">
        <f>(6.9+13.7)/P19</f>
        <v>2.9399172256315113E-2</v>
      </c>
      <c r="V24" s="475">
        <f>14.8/Q19</f>
        <v>2.3563126890622513E-2</v>
      </c>
      <c r="W24" s="445">
        <f>(20.9+34.6)/R19</f>
        <v>2.0909467656255884E-2</v>
      </c>
      <c r="X24" s="336">
        <f>14.3/S19</f>
        <v>2.2526780088216763E-2</v>
      </c>
      <c r="Y24" s="336">
        <f>4.3/T19</f>
        <v>6.1560486757337145E-3</v>
      </c>
      <c r="Z24" s="336">
        <v>0</v>
      </c>
      <c r="AA24" s="336">
        <v>0</v>
      </c>
      <c r="AB24" s="443">
        <f>18.6/W19</f>
        <v>6.6521225993347883E-3</v>
      </c>
      <c r="AC24" s="36">
        <v>0</v>
      </c>
      <c r="AD24" s="36">
        <v>0</v>
      </c>
      <c r="AE24" s="36">
        <v>0</v>
      </c>
      <c r="AF24" s="36">
        <v>0</v>
      </c>
      <c r="AG24" s="573">
        <f>SUMPRODUCT(AC$24:AF$24,X$19:AA$19)/AB$19</f>
        <v>0</v>
      </c>
      <c r="AH24" s="36">
        <v>0</v>
      </c>
      <c r="AI24" s="36">
        <f>3.8/AD19</f>
        <v>5.3087454596255938E-3</v>
      </c>
      <c r="AJ24" s="36">
        <f>34.7/AE19</f>
        <v>4.4866821825704686E-2</v>
      </c>
      <c r="AK24" s="36">
        <f>35.3/AF19</f>
        <v>5.1018933371874547E-2</v>
      </c>
      <c r="AL24" s="573">
        <f>SUMPRODUCT(AH$24:AK$24,AC$19:AF$19)/AG$19</f>
        <v>2.599140663520462E-2</v>
      </c>
      <c r="AM24" s="583">
        <f>(35.3+4.9)/AH19</f>
        <v>6.0405709992486845E-2</v>
      </c>
      <c r="AN24" s="583">
        <f>(17.2+8.8)/AI19</f>
        <v>3.641966661997479E-2</v>
      </c>
      <c r="AO24" s="583">
        <f>(20.1+5.4)/AJ19</f>
        <v>3.1512605042016806E-2</v>
      </c>
      <c r="AP24" s="583">
        <f>(13.5+18.8-62.6)/AK19</f>
        <v>-4.1101465002712972E-2</v>
      </c>
      <c r="AQ24" s="573">
        <f>SUMPRODUCT(AM$24:AP$24,AH$19:AK$19)/AL$19</f>
        <v>2.0985713309180393E-2</v>
      </c>
      <c r="AR24" s="36">
        <f>(13.2+13.7-89.6)/AM19</f>
        <v>-8.6986681465038851E-2</v>
      </c>
      <c r="AS24" s="36">
        <f>(13.6-100.1)/AN19</f>
        <v>-0.10830098910729935</v>
      </c>
      <c r="AT24" s="36">
        <f>(9.9-98.9)/AO19</f>
        <v>-0.10521338219647713</v>
      </c>
      <c r="AU24" s="36">
        <f>(-22.6)/AP19</f>
        <v>-3.0673181324647126E-2</v>
      </c>
      <c r="AV24" s="573">
        <f>SUMPRODUCT(AR$24:AU$24,AM$19:AP$19)/AQ$19</f>
        <v>-8.4069370124427834E-2</v>
      </c>
      <c r="AW24" s="68">
        <v>0</v>
      </c>
      <c r="AX24" s="68">
        <v>0</v>
      </c>
      <c r="AY24" s="68">
        <f>+AX24</f>
        <v>0</v>
      </c>
      <c r="AZ24" s="68">
        <f>+AY24</f>
        <v>0</v>
      </c>
      <c r="BA24" s="573">
        <f>SUMPRODUCT(AW$24:AZ$24,AR$19:AU$19)/AV$19</f>
        <v>0</v>
      </c>
      <c r="BB24" s="68">
        <v>0</v>
      </c>
      <c r="BC24" s="68">
        <v>0</v>
      </c>
      <c r="BD24" s="68">
        <f>+BC24</f>
        <v>0</v>
      </c>
      <c r="BE24" s="68">
        <f>+BD24</f>
        <v>0</v>
      </c>
      <c r="BF24" s="573">
        <f>SUMPRODUCT(BB$24:BE$24,AW$19:AZ$19)/BA$19</f>
        <v>0</v>
      </c>
      <c r="BG24" s="68">
        <v>0</v>
      </c>
      <c r="BH24" s="68">
        <v>0</v>
      </c>
      <c r="BI24" s="68">
        <f>+BH24</f>
        <v>0</v>
      </c>
      <c r="BJ24" s="68">
        <f>+BI24</f>
        <v>0</v>
      </c>
      <c r="BK24" s="573">
        <f>SUMPRODUCT(BG$24:BJ$24,BB$19:BE$19)/BF$19</f>
        <v>0</v>
      </c>
      <c r="BL24" s="68">
        <v>0</v>
      </c>
      <c r="BM24" s="68">
        <v>0</v>
      </c>
      <c r="BN24" s="68">
        <f>+BM24</f>
        <v>0</v>
      </c>
      <c r="BO24" s="68">
        <f>+BN24</f>
        <v>0</v>
      </c>
      <c r="BP24" s="573">
        <f>SUMPRODUCT(BL$24:BO$24,BG$19:BJ$19)/BK$19</f>
        <v>0</v>
      </c>
      <c r="BQ24" s="68">
        <v>0</v>
      </c>
      <c r="BR24" s="68">
        <v>0</v>
      </c>
      <c r="BS24" s="68">
        <f>+BR24</f>
        <v>0</v>
      </c>
      <c r="BT24" s="68">
        <f>+BS24</f>
        <v>0</v>
      </c>
      <c r="BU24" s="573">
        <f>SUMPRODUCT(BQ$24:BT$24,BL$19:BO$19)/BP$19</f>
        <v>0</v>
      </c>
      <c r="BW24" s="638"/>
      <c r="BX24" s="471"/>
      <c r="BY24" s="471"/>
      <c r="BZ24" s="653"/>
      <c r="CA24" s="681"/>
      <c r="CB24" s="642"/>
      <c r="CC24" s="470"/>
      <c r="CD24" s="470"/>
      <c r="CE24" s="653"/>
      <c r="CF24" s="642"/>
      <c r="CG24" s="671"/>
      <c r="CH24" s="671"/>
      <c r="CI24" s="671"/>
      <c r="CJ24" s="671"/>
      <c r="CK24" s="671"/>
      <c r="CL24" s="671"/>
      <c r="CM24" s="671"/>
      <c r="CN24" s="489"/>
      <c r="CO24" s="673"/>
    </row>
    <row r="25" spans="1:95" s="309" customFormat="1" x14ac:dyDescent="0.2">
      <c r="A25" s="334" t="s">
        <v>259</v>
      </c>
      <c r="B25" s="306"/>
      <c r="C25" s="306"/>
      <c r="D25" s="326"/>
      <c r="E25" s="326"/>
      <c r="F25" s="326"/>
      <c r="G25" s="326"/>
      <c r="H25" s="441"/>
      <c r="I25" s="326"/>
      <c r="J25" s="326"/>
      <c r="K25" s="326"/>
      <c r="L25" s="326"/>
      <c r="M25" s="441">
        <f>+M19/H19-1</f>
        <v>5.0355279911282746E-2</v>
      </c>
      <c r="N25" s="477"/>
      <c r="O25" s="477"/>
      <c r="P25" s="477"/>
      <c r="Q25" s="477"/>
      <c r="R25" s="441">
        <f t="shared" ref="R25:W25" si="18">+R19/M19-1</f>
        <v>3.7930629961287377E-2</v>
      </c>
      <c r="S25" s="476">
        <f t="shared" si="18"/>
        <v>-7.8702974972455486E-4</v>
      </c>
      <c r="T25" s="476">
        <f t="shared" si="18"/>
        <v>1.2025499855114363E-2</v>
      </c>
      <c r="U25" s="476">
        <f t="shared" si="18"/>
        <v>9.4476951619808736E-2</v>
      </c>
      <c r="V25" s="476">
        <f t="shared" si="18"/>
        <v>0.1079445948097435</v>
      </c>
      <c r="W25" s="446">
        <f t="shared" si="18"/>
        <v>5.3422747993821185E-2</v>
      </c>
      <c r="X25" s="344">
        <f t="shared" ref="X25:AD25" si="19">+X19/S19-1</f>
        <v>6.0806553245116746E-2</v>
      </c>
      <c r="Y25" s="344">
        <f t="shared" si="19"/>
        <v>-2.1474588403722628E-3</v>
      </c>
      <c r="Z25" s="344">
        <f t="shared" si="19"/>
        <v>1.9298474377363428E-2</v>
      </c>
      <c r="AA25" s="344">
        <f t="shared" si="19"/>
        <v>-3.5924701824975314E-3</v>
      </c>
      <c r="AB25" s="441">
        <f>+AB19/W19-1</f>
        <v>1.7667465398233384E-2</v>
      </c>
      <c r="AC25" s="301">
        <f t="shared" si="19"/>
        <v>-2.2423522423522635E-2</v>
      </c>
      <c r="AD25" s="301">
        <f t="shared" si="19"/>
        <v>2.6972740315638344E-2</v>
      </c>
      <c r="AE25" s="301">
        <f t="shared" ref="AE25:AK25" si="20">+AE19/Z19-1</f>
        <v>-1.0617884098759189E-2</v>
      </c>
      <c r="AF25" s="301">
        <f t="shared" si="20"/>
        <v>-2.1632535333141467E-3</v>
      </c>
      <c r="AG25" s="440">
        <f t="shared" si="20"/>
        <v>-2.1437357230716936E-3</v>
      </c>
      <c r="AH25" s="301">
        <f t="shared" si="20"/>
        <v>1.0937262646210089E-2</v>
      </c>
      <c r="AI25" s="301">
        <f t="shared" si="20"/>
        <v>-2.6543727298127262E-3</v>
      </c>
      <c r="AJ25" s="301">
        <f t="shared" si="20"/>
        <v>4.6289113007499383E-2</v>
      </c>
      <c r="AK25" s="301">
        <f t="shared" si="20"/>
        <v>6.5471889001300854E-2</v>
      </c>
      <c r="AL25" s="440">
        <f t="shared" ref="AL25:AQ25" si="21">+AL19/AG19-1</f>
        <v>3.0428963865605452E-2</v>
      </c>
      <c r="AM25" s="301">
        <f t="shared" si="21"/>
        <v>8.3095416979714454E-2</v>
      </c>
      <c r="AN25" s="301">
        <f t="shared" si="21"/>
        <v>0.11878414343745636</v>
      </c>
      <c r="AO25" s="301">
        <f t="shared" si="21"/>
        <v>4.5353435491843674E-2</v>
      </c>
      <c r="AP25" s="301">
        <f t="shared" si="21"/>
        <v>-5.425935973957241E-4</v>
      </c>
      <c r="AQ25" s="440">
        <f t="shared" si="21"/>
        <v>6.0291202406179467E-2</v>
      </c>
      <c r="AR25" s="301">
        <f>+AR19/AM19-1</f>
        <v>-3.8290788013318422E-2</v>
      </c>
      <c r="AS25" s="301">
        <f>+AS19/AN19-1</f>
        <v>-0.1165644171779141</v>
      </c>
      <c r="AT25" s="301">
        <f>+AT19/AO19-1</f>
        <v>-0.10273081924577376</v>
      </c>
      <c r="AU25" s="301">
        <f>+AU19/AP19-1</f>
        <v>4.3295331161780748E-2</v>
      </c>
      <c r="AV25" s="440">
        <f>+AV19/AQ19-1</f>
        <v>-5.6637225195022789E-2</v>
      </c>
      <c r="AW25" s="326">
        <f>SUM(AW21:AW24)</f>
        <v>-0.02</v>
      </c>
      <c r="AX25" s="326">
        <f>SUM(AX21:AX24)</f>
        <v>0.06</v>
      </c>
      <c r="AY25" s="326">
        <f>SUM(AY21:AY24)</f>
        <v>0.06</v>
      </c>
      <c r="AZ25" s="326">
        <f>SUM(AZ21:AZ24)</f>
        <v>2.5000000000000001E-2</v>
      </c>
      <c r="BA25" s="440">
        <f>+BA19/AV19-1</f>
        <v>3.1856996412096272E-2</v>
      </c>
      <c r="BB25" s="326">
        <f>SUM(BB21:BB24)</f>
        <v>0.03</v>
      </c>
      <c r="BC25" s="326">
        <f>SUM(BC21:BC24)</f>
        <v>0.03</v>
      </c>
      <c r="BD25" s="326">
        <f>SUM(BD21:BD24)</f>
        <v>0.03</v>
      </c>
      <c r="BE25" s="326">
        <f>SUM(BE21:BE24)</f>
        <v>0.03</v>
      </c>
      <c r="BF25" s="440">
        <f>+BF19/BA19-1</f>
        <v>3.0000000000000249E-2</v>
      </c>
      <c r="BG25" s="326">
        <f>SUM(BG21:BG24)</f>
        <v>0.03</v>
      </c>
      <c r="BH25" s="326">
        <f>SUM(BH21:BH24)</f>
        <v>0.03</v>
      </c>
      <c r="BI25" s="326">
        <f>SUM(BI21:BI24)</f>
        <v>0.03</v>
      </c>
      <c r="BJ25" s="326">
        <f>SUM(BJ21:BJ24)</f>
        <v>0.03</v>
      </c>
      <c r="BK25" s="440">
        <f>+BK19/BF19-1</f>
        <v>2.9999999999999805E-2</v>
      </c>
      <c r="BL25" s="326">
        <f>SUM(BL21:BL24)</f>
        <v>0.03</v>
      </c>
      <c r="BM25" s="326">
        <f>SUM(BM21:BM24)</f>
        <v>0.03</v>
      </c>
      <c r="BN25" s="326">
        <f>SUM(BN21:BN24)</f>
        <v>0.03</v>
      </c>
      <c r="BO25" s="326">
        <f>SUM(BO21:BO24)</f>
        <v>0.03</v>
      </c>
      <c r="BP25" s="440">
        <f>+BP19/BK19-1</f>
        <v>3.0000000000000027E-2</v>
      </c>
      <c r="BQ25" s="326">
        <f>SUM(BQ21:BQ24)</f>
        <v>2.7500000000000004E-2</v>
      </c>
      <c r="BR25" s="326">
        <f>SUM(BR21:BR24)</f>
        <v>2.7500000000000004E-2</v>
      </c>
      <c r="BS25" s="326">
        <f>SUM(BS21:BS24)</f>
        <v>2.7500000000000004E-2</v>
      </c>
      <c r="BT25" s="326">
        <f>SUM(BT21:BT24)</f>
        <v>2.7500000000000004E-2</v>
      </c>
      <c r="BU25" s="440">
        <f>+BU19/BP19-1</f>
        <v>2.750000000000008E-2</v>
      </c>
      <c r="BW25" s="678"/>
      <c r="BX25" s="471"/>
      <c r="BY25" s="471"/>
      <c r="BZ25" s="653"/>
      <c r="CA25" s="653"/>
      <c r="CC25" s="470"/>
      <c r="CD25" s="470"/>
      <c r="CE25" s="653"/>
      <c r="CF25" s="642"/>
      <c r="CG25" s="671"/>
      <c r="CH25" s="671"/>
      <c r="CI25" s="671"/>
      <c r="CJ25" s="671"/>
      <c r="CK25" s="671"/>
      <c r="CL25" s="671"/>
      <c r="CM25" s="671"/>
      <c r="CN25" s="489"/>
      <c r="CP25" s="482"/>
    </row>
    <row r="26" spans="1:95" s="309" customFormat="1" x14ac:dyDescent="0.2">
      <c r="A26" s="334"/>
      <c r="B26" s="306"/>
      <c r="C26" s="306"/>
      <c r="D26" s="326"/>
      <c r="E26" s="326"/>
      <c r="F26" s="326"/>
      <c r="G26" s="326"/>
      <c r="H26" s="440"/>
      <c r="I26" s="326"/>
      <c r="J26" s="326"/>
      <c r="K26" s="326"/>
      <c r="L26" s="326"/>
      <c r="M26" s="440"/>
      <c r="N26" s="477"/>
      <c r="O26" s="477"/>
      <c r="P26" s="477"/>
      <c r="Q26" s="477"/>
      <c r="R26" s="440"/>
      <c r="S26" s="477"/>
      <c r="T26" s="477"/>
      <c r="U26" s="477"/>
      <c r="V26" s="477"/>
      <c r="W26" s="440"/>
      <c r="X26" s="301"/>
      <c r="Y26" s="301"/>
      <c r="Z26" s="301"/>
      <c r="AA26" s="301"/>
      <c r="AB26" s="440"/>
      <c r="AC26" s="326"/>
      <c r="AD26" s="326"/>
      <c r="AE26" s="326"/>
      <c r="AF26" s="326"/>
      <c r="AG26" s="440"/>
      <c r="AH26" s="326"/>
      <c r="AI26" s="586"/>
      <c r="AJ26" s="586"/>
      <c r="AK26" s="586"/>
      <c r="AL26" s="440"/>
      <c r="AM26" s="586"/>
      <c r="AN26" s="586"/>
      <c r="AO26" s="326"/>
      <c r="AP26" s="326"/>
      <c r="AQ26" s="440"/>
      <c r="AR26" s="326"/>
      <c r="AS26" s="326"/>
      <c r="AT26" s="326"/>
      <c r="AU26" s="326"/>
      <c r="AV26" s="440"/>
      <c r="AW26" s="326"/>
      <c r="AX26" s="326"/>
      <c r="AY26" s="326"/>
      <c r="AZ26" s="326"/>
      <c r="BA26" s="440"/>
      <c r="BB26" s="326"/>
      <c r="BC26" s="326"/>
      <c r="BD26" s="326"/>
      <c r="BE26" s="326"/>
      <c r="BF26" s="440"/>
      <c r="BG26" s="326"/>
      <c r="BH26" s="326"/>
      <c r="BI26" s="326"/>
      <c r="BJ26" s="326"/>
      <c r="BK26" s="440"/>
      <c r="BL26" s="326"/>
      <c r="BM26" s="326"/>
      <c r="BN26" s="326"/>
      <c r="BO26" s="326"/>
      <c r="BP26" s="440"/>
      <c r="BQ26" s="326"/>
      <c r="BR26" s="326"/>
      <c r="BS26" s="326"/>
      <c r="BT26" s="326"/>
      <c r="BU26" s="440"/>
      <c r="BW26" s="680"/>
      <c r="BX26" s="470"/>
      <c r="BY26" s="470"/>
      <c r="BZ26" s="653"/>
      <c r="CA26" s="653"/>
      <c r="CB26" s="684"/>
      <c r="CC26" s="470"/>
      <c r="CD26" s="470"/>
      <c r="CE26" s="653"/>
      <c r="CF26" s="642"/>
      <c r="CG26" s="671"/>
      <c r="CH26" s="671"/>
      <c r="CI26" s="671"/>
      <c r="CJ26" s="671"/>
      <c r="CK26" s="671"/>
      <c r="CL26" s="671"/>
      <c r="CM26" s="671"/>
      <c r="CN26" s="489"/>
    </row>
    <row r="27" spans="1:95" s="309" customFormat="1" x14ac:dyDescent="0.2">
      <c r="A27" s="429" t="s">
        <v>262</v>
      </c>
      <c r="B27" s="429"/>
      <c r="C27" s="429"/>
      <c r="D27" s="58">
        <f t="shared" ref="D27:AI27" si="22">+D5</f>
        <v>39961</v>
      </c>
      <c r="E27" s="58">
        <f t="shared" si="22"/>
        <v>40051</v>
      </c>
      <c r="F27" s="58">
        <f t="shared" si="22"/>
        <v>40141</v>
      </c>
      <c r="G27" s="58">
        <f t="shared" si="22"/>
        <v>40219</v>
      </c>
      <c r="H27" s="431" t="str">
        <f t="shared" si="22"/>
        <v>FY2010</v>
      </c>
      <c r="I27" s="58">
        <f t="shared" si="22"/>
        <v>40309</v>
      </c>
      <c r="J27" s="58">
        <f t="shared" si="22"/>
        <v>40399</v>
      </c>
      <c r="K27" s="58">
        <f t="shared" si="22"/>
        <v>40489</v>
      </c>
      <c r="L27" s="58">
        <f t="shared" si="22"/>
        <v>40585</v>
      </c>
      <c r="M27" s="431" t="str">
        <f t="shared" si="22"/>
        <v>FY2011</v>
      </c>
      <c r="N27" s="466">
        <f t="shared" si="22"/>
        <v>40674</v>
      </c>
      <c r="O27" s="466">
        <f t="shared" si="22"/>
        <v>40766</v>
      </c>
      <c r="P27" s="466">
        <f t="shared" si="22"/>
        <v>40858</v>
      </c>
      <c r="Q27" s="466">
        <f t="shared" si="22"/>
        <v>40951</v>
      </c>
      <c r="R27" s="431" t="str">
        <f t="shared" si="22"/>
        <v>FY2012</v>
      </c>
      <c r="S27" s="466">
        <f t="shared" si="22"/>
        <v>41041</v>
      </c>
      <c r="T27" s="466">
        <f t="shared" si="22"/>
        <v>41133</v>
      </c>
      <c r="U27" s="466">
        <f t="shared" si="22"/>
        <v>41225</v>
      </c>
      <c r="V27" s="466">
        <f t="shared" si="22"/>
        <v>41318</v>
      </c>
      <c r="W27" s="431" t="str">
        <f t="shared" si="22"/>
        <v>FY2013</v>
      </c>
      <c r="X27" s="58">
        <f t="shared" si="22"/>
        <v>41407</v>
      </c>
      <c r="Y27" s="58">
        <f t="shared" si="22"/>
        <v>41499</v>
      </c>
      <c r="Z27" s="58">
        <f t="shared" si="22"/>
        <v>41591</v>
      </c>
      <c r="AA27" s="58">
        <f t="shared" si="22"/>
        <v>41684</v>
      </c>
      <c r="AB27" s="431" t="str">
        <f t="shared" si="22"/>
        <v>FY2014</v>
      </c>
      <c r="AC27" s="58">
        <f t="shared" si="22"/>
        <v>41773</v>
      </c>
      <c r="AD27" s="58">
        <f t="shared" si="22"/>
        <v>41865</v>
      </c>
      <c r="AE27" s="58">
        <f t="shared" si="22"/>
        <v>41957</v>
      </c>
      <c r="AF27" s="58">
        <f t="shared" si="22"/>
        <v>42050</v>
      </c>
      <c r="AG27" s="431" t="str">
        <f t="shared" si="22"/>
        <v>FY2015</v>
      </c>
      <c r="AH27" s="58">
        <f t="shared" si="22"/>
        <v>42139</v>
      </c>
      <c r="AI27" s="58">
        <f t="shared" si="22"/>
        <v>42231</v>
      </c>
      <c r="AJ27" s="58">
        <f t="shared" ref="AJ27:BA27" si="23">+AJ5</f>
        <v>42323</v>
      </c>
      <c r="AK27" s="58">
        <f t="shared" si="23"/>
        <v>42416</v>
      </c>
      <c r="AL27" s="431" t="str">
        <f t="shared" si="23"/>
        <v>FY2016</v>
      </c>
      <c r="AM27" s="58">
        <f t="shared" si="23"/>
        <v>42506</v>
      </c>
      <c r="AN27" s="58">
        <f t="shared" si="23"/>
        <v>42598</v>
      </c>
      <c r="AO27" s="58">
        <f t="shared" si="23"/>
        <v>42690</v>
      </c>
      <c r="AP27" s="58">
        <f t="shared" si="23"/>
        <v>42783</v>
      </c>
      <c r="AQ27" s="431" t="str">
        <f t="shared" si="23"/>
        <v>FY2017</v>
      </c>
      <c r="AR27" s="58">
        <f t="shared" si="23"/>
        <v>42872</v>
      </c>
      <c r="AS27" s="58">
        <f t="shared" si="23"/>
        <v>42964</v>
      </c>
      <c r="AT27" s="58">
        <f t="shared" si="23"/>
        <v>43056</v>
      </c>
      <c r="AU27" s="58">
        <f t="shared" si="23"/>
        <v>43149</v>
      </c>
      <c r="AV27" s="431" t="str">
        <f t="shared" si="23"/>
        <v>FY2018E</v>
      </c>
      <c r="AW27" s="58" t="str">
        <f t="shared" si="23"/>
        <v>May-18 E</v>
      </c>
      <c r="AX27" s="58" t="str">
        <f t="shared" si="23"/>
        <v>Aug-18 E</v>
      </c>
      <c r="AY27" s="58" t="str">
        <f t="shared" si="23"/>
        <v>Nov-18 E</v>
      </c>
      <c r="AZ27" s="58" t="str">
        <f t="shared" si="23"/>
        <v>Feb-19 E</v>
      </c>
      <c r="BA27" s="431" t="str">
        <f t="shared" si="23"/>
        <v>FY2019E</v>
      </c>
      <c r="BB27" s="58" t="str">
        <f t="shared" ref="BB27:BU27" si="24">+BB5</f>
        <v>May-19 E</v>
      </c>
      <c r="BC27" s="58" t="str">
        <f t="shared" si="24"/>
        <v>Aug-19 E</v>
      </c>
      <c r="BD27" s="58" t="str">
        <f t="shared" si="24"/>
        <v>Nov-19 E</v>
      </c>
      <c r="BE27" s="58" t="str">
        <f t="shared" si="24"/>
        <v>Feb-20 E</v>
      </c>
      <c r="BF27" s="431" t="str">
        <f t="shared" si="24"/>
        <v>FY2020E</v>
      </c>
      <c r="BG27" s="58" t="str">
        <f t="shared" si="24"/>
        <v>May-20 E</v>
      </c>
      <c r="BH27" s="58" t="str">
        <f t="shared" si="24"/>
        <v>Aug-20 E</v>
      </c>
      <c r="BI27" s="58" t="str">
        <f t="shared" si="24"/>
        <v>Nov-20 E</v>
      </c>
      <c r="BJ27" s="58" t="str">
        <f t="shared" si="24"/>
        <v>Feb-21 E</v>
      </c>
      <c r="BK27" s="431" t="str">
        <f t="shared" si="24"/>
        <v>FY2021E</v>
      </c>
      <c r="BL27" s="58" t="str">
        <f t="shared" si="24"/>
        <v>May-21 E</v>
      </c>
      <c r="BM27" s="58" t="str">
        <f t="shared" si="24"/>
        <v>Aug-21 E</v>
      </c>
      <c r="BN27" s="58" t="str">
        <f t="shared" si="24"/>
        <v>Nov-21 E</v>
      </c>
      <c r="BO27" s="58" t="str">
        <f t="shared" si="24"/>
        <v>Feb-22 E</v>
      </c>
      <c r="BP27" s="431" t="str">
        <f t="shared" si="24"/>
        <v>FY2022E</v>
      </c>
      <c r="BQ27" s="58" t="str">
        <f t="shared" si="24"/>
        <v>May-22 E</v>
      </c>
      <c r="BR27" s="58" t="str">
        <f t="shared" si="24"/>
        <v>Aug-22 E</v>
      </c>
      <c r="BS27" s="58" t="str">
        <f t="shared" si="24"/>
        <v>Nov-22 E</v>
      </c>
      <c r="BT27" s="58" t="str">
        <f t="shared" si="24"/>
        <v>Feb-23 E</v>
      </c>
      <c r="BU27" s="431" t="str">
        <f t="shared" si="24"/>
        <v>FY2023E</v>
      </c>
      <c r="BW27" s="680"/>
      <c r="BX27" s="470"/>
      <c r="BY27" s="470"/>
      <c r="BZ27" s="653"/>
      <c r="CA27" s="653"/>
      <c r="CC27" s="470"/>
      <c r="CD27" s="470"/>
      <c r="CE27" s="653"/>
      <c r="CF27" s="642"/>
      <c r="CG27" s="675"/>
      <c r="CH27" s="675"/>
      <c r="CI27" s="675"/>
      <c r="CJ27" s="671"/>
      <c r="CK27" s="671"/>
      <c r="CL27" s="671"/>
      <c r="CM27" s="671"/>
      <c r="CN27" s="489"/>
      <c r="CO27" s="641"/>
    </row>
    <row r="28" spans="1:95" s="309" customFormat="1" x14ac:dyDescent="0.2">
      <c r="A28" s="3" t="s">
        <v>204</v>
      </c>
      <c r="B28"/>
      <c r="C28" s="2"/>
      <c r="D28" s="340">
        <f t="shared" ref="D28:R28" si="25">+D30+D33+D35</f>
        <v>101.70000000000003</v>
      </c>
      <c r="E28" s="340">
        <f t="shared" si="25"/>
        <v>124.30000000000001</v>
      </c>
      <c r="F28" s="340">
        <f t="shared" si="25"/>
        <v>63.399999999999956</v>
      </c>
      <c r="G28" s="340">
        <f t="shared" si="25"/>
        <v>55.400000000000034</v>
      </c>
      <c r="H28" s="447">
        <f t="shared" si="25"/>
        <v>982.8</v>
      </c>
      <c r="I28" s="340">
        <f t="shared" si="25"/>
        <v>82.5</v>
      </c>
      <c r="J28" s="340">
        <f t="shared" si="25"/>
        <v>103.69999999999999</v>
      </c>
      <c r="K28" s="356">
        <f t="shared" si="25"/>
        <v>90.6</v>
      </c>
      <c r="L28" s="356">
        <f t="shared" si="25"/>
        <v>69.699999999999989</v>
      </c>
      <c r="M28" s="447">
        <f t="shared" si="25"/>
        <v>977.5</v>
      </c>
      <c r="N28" s="493">
        <f t="shared" si="25"/>
        <v>235.29999999999998</v>
      </c>
      <c r="O28" s="493">
        <f t="shared" si="25"/>
        <v>274.2</v>
      </c>
      <c r="P28" s="493">
        <f t="shared" si="25"/>
        <v>239.5</v>
      </c>
      <c r="Q28" s="493">
        <f t="shared" si="25"/>
        <v>222</v>
      </c>
      <c r="R28" s="447">
        <f t="shared" si="25"/>
        <v>971.00000000000011</v>
      </c>
      <c r="S28" s="478">
        <f t="shared" ref="S28:Z28" si="26">+S30+S33+S35</f>
        <v>232.6</v>
      </c>
      <c r="T28" s="478">
        <f t="shared" si="26"/>
        <v>284.00000000000006</v>
      </c>
      <c r="U28" s="478">
        <f t="shared" si="26"/>
        <v>251.9</v>
      </c>
      <c r="V28" s="478">
        <f t="shared" si="26"/>
        <v>236.2</v>
      </c>
      <c r="W28" s="448">
        <f t="shared" si="26"/>
        <v>1004.7</v>
      </c>
      <c r="X28" s="353">
        <f>+X30+X33+X35</f>
        <v>237.60000000000002</v>
      </c>
      <c r="Y28" s="354">
        <f>+Y30+Y33+Y35</f>
        <v>360.50000000000006</v>
      </c>
      <c r="Z28" s="355">
        <f t="shared" si="26"/>
        <v>375</v>
      </c>
      <c r="AA28" s="355">
        <f>+AA30+AA33+AA35</f>
        <v>337.79999999999995</v>
      </c>
      <c r="AB28" s="460">
        <f t="shared" ref="AB28:AL28" si="27">+AB30+AB33+AB35</f>
        <v>1314.2999999999997</v>
      </c>
      <c r="AC28" s="357">
        <f t="shared" si="27"/>
        <v>404.59999999999997</v>
      </c>
      <c r="AD28" s="356">
        <f t="shared" si="27"/>
        <v>413.40000000000003</v>
      </c>
      <c r="AE28" s="356">
        <f t="shared" si="27"/>
        <v>415.29999999999995</v>
      </c>
      <c r="AF28" s="356">
        <f t="shared" si="27"/>
        <v>349.70000000000005</v>
      </c>
      <c r="AG28" s="447">
        <f t="shared" si="27"/>
        <v>1583</v>
      </c>
      <c r="AH28" s="356">
        <f t="shared" si="27"/>
        <v>454.2</v>
      </c>
      <c r="AI28" s="356">
        <f t="shared" si="27"/>
        <v>500.9</v>
      </c>
      <c r="AJ28" s="356">
        <f t="shared" si="27"/>
        <v>475.79999999999995</v>
      </c>
      <c r="AK28" s="356">
        <f>+AK30+AK33+AK35</f>
        <v>434.7</v>
      </c>
      <c r="AL28" s="447">
        <f t="shared" si="27"/>
        <v>1865.6</v>
      </c>
      <c r="AM28" s="356">
        <f t="shared" ref="AM28:BO28" si="28">+AM30+AM33+AM35</f>
        <v>548.69999999999993</v>
      </c>
      <c r="AN28" s="356">
        <f t="shared" si="28"/>
        <v>620.19999999999993</v>
      </c>
      <c r="AO28" s="356">
        <f t="shared" si="28"/>
        <v>531.6</v>
      </c>
      <c r="AP28" s="356">
        <f t="shared" si="28"/>
        <v>494.79999999999995</v>
      </c>
      <c r="AQ28" s="447">
        <f>+AQ30+AQ33+AQ35</f>
        <v>2195.3000000000002</v>
      </c>
      <c r="AR28" s="356">
        <f>+AR30+AR33+AR35</f>
        <v>668.80000000000007</v>
      </c>
      <c r="AS28" s="356">
        <f t="shared" si="28"/>
        <v>709.80000000000007</v>
      </c>
      <c r="AT28" s="356">
        <f>+AT30+AT33+AT35</f>
        <v>550.1</v>
      </c>
      <c r="AU28" s="356">
        <f>+AU30+AU33+AU35</f>
        <v>544.5</v>
      </c>
      <c r="AV28" s="447">
        <f>+AV30+AV33+AV35</f>
        <v>2473.1999999999998</v>
      </c>
      <c r="AW28" s="356">
        <f t="shared" si="28"/>
        <v>703.24383952050005</v>
      </c>
      <c r="AX28" s="356">
        <f t="shared" si="28"/>
        <v>783.36778944800017</v>
      </c>
      <c r="AY28" s="356">
        <f t="shared" si="28"/>
        <v>631.32348453575014</v>
      </c>
      <c r="AZ28" s="356">
        <f t="shared" si="28"/>
        <v>602.39322189450013</v>
      </c>
      <c r="BA28" s="447">
        <f t="shared" si="28"/>
        <v>2720.3283353987499</v>
      </c>
      <c r="BB28" s="356">
        <f t="shared" si="28"/>
        <v>772.22477146468782</v>
      </c>
      <c r="BC28" s="356">
        <f t="shared" si="28"/>
        <v>859.65030572577302</v>
      </c>
      <c r="BD28" s="356">
        <f t="shared" si="28"/>
        <v>690.32035129751296</v>
      </c>
      <c r="BE28" s="356">
        <f t="shared" si="28"/>
        <v>658.74695682994911</v>
      </c>
      <c r="BF28" s="447">
        <f t="shared" si="28"/>
        <v>2980.9423853179228</v>
      </c>
      <c r="BG28" s="356">
        <f t="shared" si="28"/>
        <v>827.57631041928573</v>
      </c>
      <c r="BH28" s="356">
        <f t="shared" si="28"/>
        <v>920.94687750134835</v>
      </c>
      <c r="BI28" s="356">
        <f t="shared" si="28"/>
        <v>737.74018841863381</v>
      </c>
      <c r="BJ28" s="356">
        <f t="shared" si="28"/>
        <v>704.04922713765654</v>
      </c>
      <c r="BK28" s="447">
        <f t="shared" si="28"/>
        <v>3190.3126034769248</v>
      </c>
      <c r="BL28" s="356">
        <f t="shared" si="28"/>
        <v>881.5771631273534</v>
      </c>
      <c r="BM28" s="356">
        <f t="shared" si="28"/>
        <v>980.72303443377223</v>
      </c>
      <c r="BN28" s="356">
        <f t="shared" si="28"/>
        <v>784.13134555290992</v>
      </c>
      <c r="BO28" s="356">
        <f t="shared" si="28"/>
        <v>748.36072138195061</v>
      </c>
      <c r="BP28" s="447">
        <f t="shared" ref="BP28:BU28" si="29">+BP30+BP33+BP35</f>
        <v>3394.7922644959863</v>
      </c>
      <c r="BQ28" s="356">
        <f t="shared" si="29"/>
        <v>932.19945313484084</v>
      </c>
      <c r="BR28" s="356">
        <f t="shared" si="29"/>
        <v>1036.7912356744275</v>
      </c>
      <c r="BS28" s="356">
        <f t="shared" si="29"/>
        <v>827.61248699859971</v>
      </c>
      <c r="BT28" s="356">
        <f t="shared" si="29"/>
        <v>789.89630175786806</v>
      </c>
      <c r="BU28" s="447">
        <f t="shared" si="29"/>
        <v>3586.4994775657365</v>
      </c>
      <c r="BW28" s="685"/>
      <c r="BX28" s="470"/>
      <c r="BY28" s="470"/>
      <c r="BZ28" s="653"/>
      <c r="CA28" s="663"/>
      <c r="CC28" s="470"/>
      <c r="CD28" s="470"/>
      <c r="CE28" s="653"/>
      <c r="CF28" s="642"/>
      <c r="CG28" s="671"/>
      <c r="CH28" s="671"/>
      <c r="CI28" s="671"/>
      <c r="CJ28" s="671"/>
      <c r="CK28" s="675"/>
      <c r="CL28" s="676"/>
      <c r="CM28" s="642"/>
      <c r="CN28" s="489"/>
      <c r="CO28" s="641"/>
    </row>
    <row r="29" spans="1:95" s="309" customFormat="1" x14ac:dyDescent="0.2">
      <c r="A29" s="337" t="s">
        <v>220</v>
      </c>
      <c r="B29" s="2"/>
      <c r="C29" s="2"/>
      <c r="D29" s="338"/>
      <c r="E29" s="338"/>
      <c r="F29" s="338"/>
      <c r="G29" s="338"/>
      <c r="H29" s="449"/>
      <c r="I29" s="338">
        <f t="shared" ref="I29:AI29" si="30">+I28/D28-1</f>
        <v>-0.18879056047197662</v>
      </c>
      <c r="J29" s="338">
        <f t="shared" si="30"/>
        <v>-0.16572807723250216</v>
      </c>
      <c r="K29" s="338">
        <f t="shared" si="30"/>
        <v>0.42902208201892833</v>
      </c>
      <c r="L29" s="338">
        <f t="shared" si="30"/>
        <v>0.25812274368230947</v>
      </c>
      <c r="M29" s="449">
        <f t="shared" si="30"/>
        <v>-5.3927553927552996E-3</v>
      </c>
      <c r="N29" s="494">
        <f t="shared" si="30"/>
        <v>1.8521212121212121</v>
      </c>
      <c r="O29" s="494">
        <f t="shared" si="30"/>
        <v>1.6441658630665383</v>
      </c>
      <c r="P29" s="494">
        <f t="shared" si="30"/>
        <v>1.6434878587196469</v>
      </c>
      <c r="Q29" s="494">
        <f t="shared" si="30"/>
        <v>2.185078909612626</v>
      </c>
      <c r="R29" s="449">
        <f t="shared" si="30"/>
        <v>-6.6496163682863152E-3</v>
      </c>
      <c r="S29" s="479">
        <f t="shared" si="30"/>
        <v>-1.1474713132171632E-2</v>
      </c>
      <c r="T29" s="479">
        <f t="shared" si="30"/>
        <v>3.5740335521517341E-2</v>
      </c>
      <c r="U29" s="479">
        <f t="shared" si="30"/>
        <v>5.1774530271398778E-2</v>
      </c>
      <c r="V29" s="479">
        <f t="shared" si="30"/>
        <v>6.3963963963963977E-2</v>
      </c>
      <c r="W29" s="450">
        <f t="shared" si="30"/>
        <v>3.4706488156539539E-2</v>
      </c>
      <c r="X29" s="349">
        <f t="shared" si="30"/>
        <v>2.1496130696474713E-2</v>
      </c>
      <c r="Y29" s="349">
        <f t="shared" si="30"/>
        <v>0.26936619718309851</v>
      </c>
      <c r="Z29" s="349">
        <f t="shared" si="30"/>
        <v>0.48868598650258033</v>
      </c>
      <c r="AA29" s="349">
        <f t="shared" si="30"/>
        <v>0.43014394580863669</v>
      </c>
      <c r="AB29" s="453">
        <f t="shared" si="30"/>
        <v>0.30815168707076701</v>
      </c>
      <c r="AC29" s="339">
        <f t="shared" si="30"/>
        <v>0.70286195286195263</v>
      </c>
      <c r="AD29" s="338">
        <f t="shared" si="30"/>
        <v>0.14674063800277382</v>
      </c>
      <c r="AE29" s="338">
        <f t="shared" si="30"/>
        <v>0.1074666666666666</v>
      </c>
      <c r="AF29" s="338">
        <f t="shared" si="30"/>
        <v>3.5227945529899607E-2</v>
      </c>
      <c r="AG29" s="449">
        <f t="shared" si="30"/>
        <v>0.20444342996271803</v>
      </c>
      <c r="AH29" s="338">
        <f t="shared" si="30"/>
        <v>0.12259021255561064</v>
      </c>
      <c r="AI29" s="338">
        <f t="shared" si="30"/>
        <v>0.21165940977261721</v>
      </c>
      <c r="AJ29" s="338">
        <f t="shared" ref="AJ29:BO29" si="31">+AJ28/AE28-1</f>
        <v>0.14567782326029377</v>
      </c>
      <c r="AK29" s="338">
        <f t="shared" si="31"/>
        <v>0.24306548470117217</v>
      </c>
      <c r="AL29" s="449">
        <f t="shared" si="31"/>
        <v>0.17852179406190771</v>
      </c>
      <c r="AM29" s="338">
        <f>+AM28/AH28-1</f>
        <v>0.20805812417437242</v>
      </c>
      <c r="AN29" s="338">
        <f t="shared" si="31"/>
        <v>0.23817129167498496</v>
      </c>
      <c r="AO29" s="338">
        <f t="shared" si="31"/>
        <v>0.11727616645649452</v>
      </c>
      <c r="AP29" s="338">
        <f t="shared" si="31"/>
        <v>0.13825626869105112</v>
      </c>
      <c r="AQ29" s="449">
        <f t="shared" si="31"/>
        <v>0.17672598627787317</v>
      </c>
      <c r="AR29" s="338">
        <f t="shared" si="31"/>
        <v>0.21888099143429951</v>
      </c>
      <c r="AS29" s="338">
        <f t="shared" si="31"/>
        <v>0.14446952595936824</v>
      </c>
      <c r="AT29" s="338">
        <f t="shared" si="31"/>
        <v>3.4800601956358257E-2</v>
      </c>
      <c r="AU29" s="338">
        <f t="shared" si="31"/>
        <v>0.10044462409054167</v>
      </c>
      <c r="AV29" s="449">
        <f>+AV28/AQ28-1</f>
        <v>0.12658862114517366</v>
      </c>
      <c r="AW29" s="338">
        <f t="shared" si="31"/>
        <v>5.1500956220843275E-2</v>
      </c>
      <c r="AX29" s="338">
        <f t="shared" si="31"/>
        <v>0.10364580085657948</v>
      </c>
      <c r="AY29" s="338">
        <f t="shared" si="31"/>
        <v>0.14765221693464836</v>
      </c>
      <c r="AZ29" s="338">
        <f t="shared" si="31"/>
        <v>0.10632363984297544</v>
      </c>
      <c r="BA29" s="449">
        <f t="shared" si="31"/>
        <v>9.9922503395904139E-2</v>
      </c>
      <c r="BB29" s="338">
        <f t="shared" si="31"/>
        <v>9.8089635582476964E-2</v>
      </c>
      <c r="BC29" s="338">
        <f t="shared" si="31"/>
        <v>9.7377652368787482E-2</v>
      </c>
      <c r="BD29" s="338">
        <f t="shared" si="31"/>
        <v>9.3449504425052066E-2</v>
      </c>
      <c r="BE29" s="338">
        <f t="shared" si="31"/>
        <v>9.3549749378352809E-2</v>
      </c>
      <c r="BF29" s="449">
        <f t="shared" si="31"/>
        <v>9.5802424482327009E-2</v>
      </c>
      <c r="BG29" s="338">
        <f t="shared" si="31"/>
        <v>7.1678015261815498E-2</v>
      </c>
      <c r="BH29" s="338">
        <f t="shared" si="31"/>
        <v>7.1304077212913652E-2</v>
      </c>
      <c r="BI29" s="338">
        <f t="shared" si="31"/>
        <v>6.8692509256016221E-2</v>
      </c>
      <c r="BJ29" s="338">
        <f t="shared" si="31"/>
        <v>6.8770367495453844E-2</v>
      </c>
      <c r="BK29" s="449">
        <f t="shared" si="31"/>
        <v>7.0236251190300081E-2</v>
      </c>
      <c r="BL29" s="338">
        <f t="shared" si="31"/>
        <v>6.5251810652613429E-2</v>
      </c>
      <c r="BM29" s="338">
        <f t="shared" si="31"/>
        <v>6.4907280096985209E-2</v>
      </c>
      <c r="BN29" s="338">
        <f t="shared" si="31"/>
        <v>6.2882784295263727E-2</v>
      </c>
      <c r="BO29" s="338">
        <f t="shared" si="31"/>
        <v>6.2938062476745271E-2</v>
      </c>
      <c r="BP29" s="449">
        <f t="shared" ref="BP29:BU29" si="32">+BP28/BK28-1</f>
        <v>6.4093926343208985E-2</v>
      </c>
      <c r="BQ29" s="338">
        <f t="shared" si="32"/>
        <v>5.7422415331072285E-2</v>
      </c>
      <c r="BR29" s="338">
        <f t="shared" si="32"/>
        <v>5.7170270577999283E-2</v>
      </c>
      <c r="BS29" s="338">
        <f t="shared" si="32"/>
        <v>5.5451349690695206E-2</v>
      </c>
      <c r="BT29" s="338">
        <f t="shared" si="32"/>
        <v>5.5502085009507596E-2</v>
      </c>
      <c r="BU29" s="449">
        <f t="shared" si="32"/>
        <v>5.6470970278416299E-2</v>
      </c>
      <c r="BW29" s="680"/>
      <c r="BX29" s="470"/>
      <c r="BY29" s="470"/>
      <c r="BZ29" s="653"/>
      <c r="CA29" s="653"/>
      <c r="CC29" s="470"/>
      <c r="CD29" s="470"/>
      <c r="CE29" s="653"/>
      <c r="CF29" s="642"/>
      <c r="CG29" s="675"/>
      <c r="CH29" s="675"/>
      <c r="CI29" s="675"/>
      <c r="CJ29" s="671"/>
      <c r="CK29" s="671"/>
      <c r="CL29" s="671"/>
      <c r="CM29" s="671"/>
      <c r="CN29" s="489"/>
      <c r="CO29" s="489"/>
    </row>
    <row r="30" spans="1:95" s="309" customFormat="1" x14ac:dyDescent="0.2">
      <c r="A30" s="3" t="s">
        <v>224</v>
      </c>
      <c r="B30"/>
      <c r="C30" s="2"/>
      <c r="D30" s="55">
        <v>126</v>
      </c>
      <c r="E30" s="55">
        <v>144.69999999999999</v>
      </c>
      <c r="F30" s="55">
        <v>91.4</v>
      </c>
      <c r="G30" s="55">
        <v>82</v>
      </c>
      <c r="H30" s="451">
        <f>+D30+E30+F30+G30</f>
        <v>444.1</v>
      </c>
      <c r="I30" s="55">
        <v>108.9</v>
      </c>
      <c r="J30" s="55">
        <v>131.19999999999999</v>
      </c>
      <c r="K30" s="312">
        <v>116.1</v>
      </c>
      <c r="L30" s="312">
        <v>96.8</v>
      </c>
      <c r="M30" s="451">
        <f>+I30+J30+K30+L30</f>
        <v>453</v>
      </c>
      <c r="N30" s="495">
        <v>119.8</v>
      </c>
      <c r="O30" s="495">
        <v>125.6</v>
      </c>
      <c r="P30" s="495">
        <v>86.7</v>
      </c>
      <c r="Q30" s="495">
        <v>98.9</v>
      </c>
      <c r="R30" s="451">
        <f>+N30+O30+P30+Q30</f>
        <v>431</v>
      </c>
      <c r="S30" s="480">
        <v>123</v>
      </c>
      <c r="T30" s="480">
        <v>143.4</v>
      </c>
      <c r="U30" s="480">
        <v>79</v>
      </c>
      <c r="V30" s="480">
        <v>102.6</v>
      </c>
      <c r="W30" s="452">
        <f>+S30+T30+U30+V30</f>
        <v>448</v>
      </c>
      <c r="X30" s="353">
        <v>134</v>
      </c>
      <c r="Y30" s="353">
        <v>229.9</v>
      </c>
      <c r="Z30" s="353">
        <v>212.5</v>
      </c>
      <c r="AA30" s="353">
        <v>200</v>
      </c>
      <c r="AB30" s="461">
        <f>+X30+Y30+Z30+AA30</f>
        <v>776.4</v>
      </c>
      <c r="AC30" s="312">
        <v>287.5</v>
      </c>
      <c r="AD30" s="312">
        <v>271.10000000000002</v>
      </c>
      <c r="AE30" s="312">
        <v>242</v>
      </c>
      <c r="AF30" s="312">
        <v>217.2</v>
      </c>
      <c r="AG30" s="451">
        <f>+AC30+AD30+AE30+AF30</f>
        <v>1017.8</v>
      </c>
      <c r="AH30" s="312">
        <v>336.5</v>
      </c>
      <c r="AI30" s="312">
        <v>355.9</v>
      </c>
      <c r="AJ30" s="312">
        <v>291.60000000000002</v>
      </c>
      <c r="AK30" s="312">
        <v>280.10000000000002</v>
      </c>
      <c r="AL30" s="451">
        <f>+AH30+AI30+AJ30+AK30</f>
        <v>1264.0999999999999</v>
      </c>
      <c r="AM30" s="312">
        <v>409.3</v>
      </c>
      <c r="AN30" s="312">
        <v>450.7</v>
      </c>
      <c r="AO30" s="312">
        <v>335.7</v>
      </c>
      <c r="AP30" s="312">
        <v>338.7</v>
      </c>
      <c r="AQ30" s="451">
        <f>+AM30+AN30+AO30+AP30</f>
        <v>1534.4</v>
      </c>
      <c r="AR30" s="312">
        <v>500.6</v>
      </c>
      <c r="AS30" s="312">
        <v>566.20000000000005</v>
      </c>
      <c r="AT30" s="312">
        <v>392.4</v>
      </c>
      <c r="AU30" s="312">
        <v>379.1</v>
      </c>
      <c r="AV30" s="451">
        <f>+AR30+AS30+AT30+AU30</f>
        <v>1838.3000000000002</v>
      </c>
      <c r="AW30" s="312">
        <f>+AW40*AW12</f>
        <v>563.41324752050002</v>
      </c>
      <c r="AX30" s="312">
        <f>+AX40*AX12</f>
        <v>625.78846144800013</v>
      </c>
      <c r="AY30" s="312">
        <f>+AY40*AY12</f>
        <v>452.56003453575005</v>
      </c>
      <c r="AZ30" s="312">
        <f>+AZ40*AZ12</f>
        <v>432.3386343945001</v>
      </c>
      <c r="BA30" s="451">
        <f>+AW30+AX30+AY30+AZ30</f>
        <v>2074.1003778987501</v>
      </c>
      <c r="BB30" s="312">
        <f>+BB40*BB12</f>
        <v>625.32389542468786</v>
      </c>
      <c r="BC30" s="312">
        <f>+BC40*BC12</f>
        <v>694.18248860577296</v>
      </c>
      <c r="BD30" s="312">
        <f>+BD40*BD12</f>
        <v>502.8310710975129</v>
      </c>
      <c r="BE30" s="312">
        <f>+BE40*BE12</f>
        <v>480.24868911744903</v>
      </c>
      <c r="BF30" s="451">
        <f>+BB30+BC30+BD30+BE30</f>
        <v>2302.5861442454229</v>
      </c>
      <c r="BG30" s="312">
        <f>+BG40*BG12</f>
        <v>674.75245955448577</v>
      </c>
      <c r="BH30" s="312">
        <f>+BH40*BH12</f>
        <v>748.85070191414843</v>
      </c>
      <c r="BI30" s="312">
        <f>+BI40*BI12</f>
        <v>542.87411388363375</v>
      </c>
      <c r="BJ30" s="312">
        <f>+BJ40*BJ12</f>
        <v>518.43052688015655</v>
      </c>
      <c r="BK30" s="451">
        <f>+BG30+BH30+BI30+BJ30</f>
        <v>2484.9078022324247</v>
      </c>
      <c r="BL30" s="312">
        <f>+BL40*BL12</f>
        <v>722.79710080601956</v>
      </c>
      <c r="BM30" s="312">
        <f>+BM40*BM12</f>
        <v>801.95878333211624</v>
      </c>
      <c r="BN30" s="312">
        <f>+BN40*BN12</f>
        <v>581.83911313213491</v>
      </c>
      <c r="BO30" s="312">
        <f>+BO40*BO12</f>
        <v>555.57537206919744</v>
      </c>
      <c r="BP30" s="451">
        <f>+BL30+BM30+BN30+BO30</f>
        <v>2662.1703693394679</v>
      </c>
      <c r="BQ30" s="312">
        <f>+BQ40*BQ12</f>
        <v>767.76016807878898</v>
      </c>
      <c r="BR30" s="312">
        <f>+BR40*BR12</f>
        <v>851.69132389284789</v>
      </c>
      <c r="BS30" s="312">
        <f>+BS40*BS12</f>
        <v>618.25991515496094</v>
      </c>
      <c r="BT30" s="312">
        <f>+BT40*BT12</f>
        <v>590.30430933817911</v>
      </c>
      <c r="BU30" s="451">
        <f>+BQ30+BR30+BS30+BT30</f>
        <v>2828.0157164647771</v>
      </c>
      <c r="BV30" s="488"/>
      <c r="BW30" s="680"/>
      <c r="BX30" s="470"/>
      <c r="BY30" s="470"/>
      <c r="BZ30" s="653"/>
      <c r="CA30" s="663"/>
      <c r="CC30" s="470"/>
      <c r="CD30" s="470"/>
      <c r="CE30" s="653"/>
      <c r="CF30" s="642"/>
      <c r="CG30" s="671"/>
      <c r="CH30" s="671"/>
      <c r="CI30" s="671"/>
      <c r="CJ30" s="686"/>
      <c r="CK30" s="675"/>
      <c r="CL30" s="671"/>
      <c r="CM30" s="671"/>
      <c r="CN30" s="489"/>
      <c r="CO30" s="673"/>
      <c r="CP30" s="674"/>
    </row>
    <row r="31" spans="1:95" s="309" customFormat="1" x14ac:dyDescent="0.2">
      <c r="A31" s="331" t="s">
        <v>220</v>
      </c>
      <c r="B31" s="2"/>
      <c r="C31" s="2"/>
      <c r="D31" s="338"/>
      <c r="E31" s="338"/>
      <c r="F31" s="338"/>
      <c r="G31" s="338"/>
      <c r="H31" s="449"/>
      <c r="I31" s="338">
        <f t="shared" ref="I31:Q31" si="33">+I30/D30-1</f>
        <v>-0.13571428571428568</v>
      </c>
      <c r="J31" s="338">
        <f t="shared" si="33"/>
        <v>-9.3296475466482343E-2</v>
      </c>
      <c r="K31" s="338">
        <f t="shared" si="33"/>
        <v>0.2702407002188183</v>
      </c>
      <c r="L31" s="338">
        <f t="shared" si="33"/>
        <v>0.18048780487804872</v>
      </c>
      <c r="M31" s="449">
        <f t="shared" si="33"/>
        <v>2.0040531411844142E-2</v>
      </c>
      <c r="N31" s="494">
        <f t="shared" si="33"/>
        <v>0.10009182736455458</v>
      </c>
      <c r="O31" s="494">
        <f t="shared" si="33"/>
        <v>-4.268292682926822E-2</v>
      </c>
      <c r="P31" s="494">
        <f t="shared" si="33"/>
        <v>-0.25322997416020665</v>
      </c>
      <c r="Q31" s="494">
        <f t="shared" si="33"/>
        <v>2.1694214876033069E-2</v>
      </c>
      <c r="R31" s="449">
        <f t="shared" ref="R31:W31" si="34">+R30/M30-1</f>
        <v>-4.8565121412803558E-2</v>
      </c>
      <c r="S31" s="479">
        <f t="shared" si="34"/>
        <v>2.6711185308848195E-2</v>
      </c>
      <c r="T31" s="479">
        <f t="shared" si="34"/>
        <v>0.14171974522292996</v>
      </c>
      <c r="U31" s="479">
        <f t="shared" si="34"/>
        <v>-8.8811995386389841E-2</v>
      </c>
      <c r="V31" s="479">
        <f t="shared" si="34"/>
        <v>3.7411526794742134E-2</v>
      </c>
      <c r="W31" s="450">
        <f t="shared" si="34"/>
        <v>3.9443155452436152E-2</v>
      </c>
      <c r="X31" s="349">
        <f t="shared" ref="X31:BO31" si="35">+X30/S30-1</f>
        <v>8.9430894308943021E-2</v>
      </c>
      <c r="Y31" s="349">
        <f t="shared" si="35"/>
        <v>0.60320781032078097</v>
      </c>
      <c r="Z31" s="349">
        <f t="shared" si="35"/>
        <v>1.6898734177215191</v>
      </c>
      <c r="AA31" s="349">
        <f t="shared" si="35"/>
        <v>0.94931773879142312</v>
      </c>
      <c r="AB31" s="453">
        <f t="shared" si="35"/>
        <v>0.73303571428571423</v>
      </c>
      <c r="AC31" s="339">
        <f t="shared" si="35"/>
        <v>1.1455223880597014</v>
      </c>
      <c r="AD31" s="338">
        <f t="shared" si="35"/>
        <v>0.17920835145715541</v>
      </c>
      <c r="AE31" s="338">
        <f t="shared" si="35"/>
        <v>0.13882352941176479</v>
      </c>
      <c r="AF31" s="338">
        <f t="shared" si="35"/>
        <v>8.5999999999999854E-2</v>
      </c>
      <c r="AG31" s="449">
        <f t="shared" si="35"/>
        <v>0.31092220504894374</v>
      </c>
      <c r="AH31" s="338">
        <f t="shared" si="35"/>
        <v>0.1704347826086956</v>
      </c>
      <c r="AI31" s="338">
        <f t="shared" si="35"/>
        <v>0.31279970490593856</v>
      </c>
      <c r="AJ31" s="338">
        <f t="shared" si="35"/>
        <v>0.20495867768595044</v>
      </c>
      <c r="AK31" s="338">
        <f t="shared" si="35"/>
        <v>0.28959484346224684</v>
      </c>
      <c r="AL31" s="449">
        <f t="shared" si="35"/>
        <v>0.24199253291412859</v>
      </c>
      <c r="AM31" s="338">
        <f t="shared" si="35"/>
        <v>0.21634472511144143</v>
      </c>
      <c r="AN31" s="338">
        <f t="shared" si="35"/>
        <v>0.26636695701039614</v>
      </c>
      <c r="AO31" s="338">
        <f t="shared" si="35"/>
        <v>0.15123456790123435</v>
      </c>
      <c r="AP31" s="338">
        <f t="shared" si="35"/>
        <v>0.209210996072831</v>
      </c>
      <c r="AQ31" s="449">
        <f t="shared" si="35"/>
        <v>0.2138280199351319</v>
      </c>
      <c r="AR31" s="583">
        <f t="shared" si="35"/>
        <v>0.22306376740776934</v>
      </c>
      <c r="AS31" s="583">
        <f t="shared" si="35"/>
        <v>0.25626802751275801</v>
      </c>
      <c r="AT31" s="583">
        <f t="shared" si="35"/>
        <v>0.16890080428954413</v>
      </c>
      <c r="AU31" s="583">
        <f t="shared" si="35"/>
        <v>0.11927959846471814</v>
      </c>
      <c r="AV31" s="449">
        <f>+AV30/AQ30-1</f>
        <v>0.19805787278415021</v>
      </c>
      <c r="AW31" s="583">
        <f t="shared" si="35"/>
        <v>0.12547592393228135</v>
      </c>
      <c r="AX31" s="583">
        <f t="shared" si="35"/>
        <v>0.10524277896149781</v>
      </c>
      <c r="AY31" s="583">
        <f t="shared" si="35"/>
        <v>0.15331303398509188</v>
      </c>
      <c r="AZ31" s="583">
        <f t="shared" si="35"/>
        <v>0.14043427695726751</v>
      </c>
      <c r="BA31" s="449">
        <f t="shared" si="35"/>
        <v>0.12827089044157636</v>
      </c>
      <c r="BB31" s="338">
        <f t="shared" si="35"/>
        <v>0.10988497018245069</v>
      </c>
      <c r="BC31" s="338">
        <f t="shared" si="35"/>
        <v>0.10929256669181342</v>
      </c>
      <c r="BD31" s="338">
        <f t="shared" si="35"/>
        <v>0.11108147588271344</v>
      </c>
      <c r="BE31" s="338">
        <f t="shared" si="35"/>
        <v>0.11081603842795129</v>
      </c>
      <c r="BF31" s="449">
        <f t="shared" si="35"/>
        <v>0.11016138311403689</v>
      </c>
      <c r="BG31" s="338">
        <f t="shared" si="35"/>
        <v>7.9044739040763146E-2</v>
      </c>
      <c r="BH31" s="338">
        <f t="shared" si="35"/>
        <v>7.8751933685583975E-2</v>
      </c>
      <c r="BI31" s="338">
        <f t="shared" si="35"/>
        <v>7.9635179860147121E-2</v>
      </c>
      <c r="BJ31" s="338">
        <f t="shared" si="35"/>
        <v>7.9504303973997548E-2</v>
      </c>
      <c r="BK31" s="449">
        <f t="shared" si="35"/>
        <v>7.9181253844793797E-2</v>
      </c>
      <c r="BL31" s="338">
        <f t="shared" si="35"/>
        <v>7.1203358463125754E-2</v>
      </c>
      <c r="BM31" s="338">
        <f t="shared" si="35"/>
        <v>7.0919452011218631E-2</v>
      </c>
      <c r="BN31" s="338">
        <f t="shared" si="35"/>
        <v>7.1775386322534107E-2</v>
      </c>
      <c r="BO31" s="338">
        <f t="shared" si="35"/>
        <v>7.1648645793629173E-2</v>
      </c>
      <c r="BP31" s="449">
        <f t="shared" ref="BP31:BU31" si="36">+BP30/BK30-1</f>
        <v>7.1335671668699918E-2</v>
      </c>
      <c r="BQ31" s="338">
        <f t="shared" si="36"/>
        <v>6.2207038770118572E-2</v>
      </c>
      <c r="BR31" s="338">
        <f t="shared" si="36"/>
        <v>6.2013836115235588E-2</v>
      </c>
      <c r="BS31" s="338">
        <f t="shared" si="36"/>
        <v>6.2596001542018831E-2</v>
      </c>
      <c r="BT31" s="338">
        <f t="shared" si="36"/>
        <v>6.2509857374772437E-2</v>
      </c>
      <c r="BU31" s="449">
        <f t="shared" si="36"/>
        <v>6.2297044935729851E-2</v>
      </c>
      <c r="BV31" s="675"/>
      <c r="BW31" s="687"/>
      <c r="BX31" s="471"/>
      <c r="BY31" s="687"/>
      <c r="BZ31" s="681"/>
      <c r="CA31" s="681"/>
      <c r="CC31" s="471"/>
      <c r="CD31" s="471"/>
      <c r="CE31" s="681"/>
      <c r="CF31" s="642"/>
      <c r="CG31" s="676"/>
      <c r="CH31" s="676"/>
      <c r="CI31" s="676"/>
      <c r="CJ31" s="671"/>
      <c r="CK31" s="671"/>
      <c r="CL31" s="671"/>
      <c r="CM31" s="482"/>
      <c r="CN31" s="482"/>
      <c r="CO31" s="482"/>
    </row>
    <row r="32" spans="1:95" s="309" customFormat="1" ht="12.75" hidden="1" customHeight="1" x14ac:dyDescent="0.2">
      <c r="A32" s="2" t="s">
        <v>225</v>
      </c>
      <c r="B32" s="2"/>
      <c r="C32" s="2"/>
      <c r="D32" s="45">
        <v>62.9</v>
      </c>
      <c r="E32" s="45">
        <v>72.2</v>
      </c>
      <c r="F32" s="45">
        <v>45.6</v>
      </c>
      <c r="G32" s="45">
        <v>41.2</v>
      </c>
      <c r="H32" s="438">
        <f>+D32+E32+F32+G32</f>
        <v>221.89999999999998</v>
      </c>
      <c r="I32" s="45">
        <v>54.3</v>
      </c>
      <c r="J32" s="45">
        <v>65.3</v>
      </c>
      <c r="K32" s="45">
        <v>57.9</v>
      </c>
      <c r="L32" s="45">
        <v>48.6</v>
      </c>
      <c r="M32" s="438">
        <f>+I32+J32+K32+L32</f>
        <v>226.1</v>
      </c>
      <c r="N32" s="489">
        <v>59.8</v>
      </c>
      <c r="O32" s="489">
        <v>62.7</v>
      </c>
      <c r="P32" s="489">
        <v>43.2</v>
      </c>
      <c r="Q32" s="489">
        <v>49.4</v>
      </c>
      <c r="R32" s="438">
        <f>+N32+O32+P32+Q32</f>
        <v>215.1</v>
      </c>
      <c r="S32" s="470">
        <v>60.9</v>
      </c>
      <c r="T32" s="470">
        <v>71.3</v>
      </c>
      <c r="U32" s="470">
        <v>38.5</v>
      </c>
      <c r="V32" s="470">
        <v>50.4</v>
      </c>
      <c r="W32" s="439">
        <f>+S32+T32+U32+V32</f>
        <v>221.1</v>
      </c>
      <c r="X32" s="350">
        <v>66</v>
      </c>
      <c r="Y32" s="350">
        <v>4.3</v>
      </c>
      <c r="Z32" s="350"/>
      <c r="AA32" s="351"/>
      <c r="AB32" s="462"/>
      <c r="AC32" s="45"/>
      <c r="AD32" s="45"/>
      <c r="AE32" s="45"/>
      <c r="AF32" s="45"/>
      <c r="AG32" s="438"/>
      <c r="AH32" s="45"/>
      <c r="AI32" s="45"/>
      <c r="AJ32" s="45"/>
      <c r="AK32" s="45"/>
      <c r="AL32" s="438"/>
      <c r="AM32" s="45"/>
      <c r="AN32" s="45"/>
      <c r="AO32" s="45"/>
      <c r="AP32" s="45"/>
      <c r="AQ32" s="438"/>
      <c r="AR32" s="45"/>
      <c r="AS32" s="45"/>
      <c r="AT32" s="45"/>
      <c r="AU32" s="45"/>
      <c r="AV32" s="438"/>
      <c r="AW32" s="45"/>
      <c r="AX32" s="45"/>
      <c r="AY32" s="45"/>
      <c r="AZ32" s="45"/>
      <c r="BA32" s="438"/>
      <c r="BB32" s="45"/>
      <c r="BC32" s="45"/>
      <c r="BD32" s="45"/>
      <c r="BE32" s="45"/>
      <c r="BF32" s="438"/>
      <c r="BG32" s="45"/>
      <c r="BH32" s="45"/>
      <c r="BI32" s="45"/>
      <c r="BJ32" s="45"/>
      <c r="BK32" s="438"/>
      <c r="BL32" s="45"/>
      <c r="BM32" s="45"/>
      <c r="BN32" s="45"/>
      <c r="BO32" s="45"/>
      <c r="BP32" s="438"/>
      <c r="BQ32" s="45"/>
      <c r="BR32" s="45"/>
      <c r="BS32" s="45"/>
      <c r="BT32" s="45"/>
      <c r="BU32" s="438"/>
      <c r="BV32" s="671"/>
      <c r="BW32" s="680"/>
      <c r="BX32" s="470"/>
      <c r="BY32" s="470"/>
      <c r="BZ32" s="653"/>
      <c r="CA32" s="653"/>
      <c r="CC32" s="470"/>
      <c r="CD32" s="470"/>
      <c r="CE32" s="653"/>
      <c r="CF32" s="642"/>
      <c r="CG32" s="671"/>
      <c r="CH32" s="671"/>
      <c r="CI32" s="671"/>
      <c r="CJ32" s="671"/>
      <c r="CK32" s="671"/>
      <c r="CL32" s="671"/>
      <c r="CM32" s="671"/>
      <c r="CN32" s="489"/>
    </row>
    <row r="33" spans="1:94" s="309" customFormat="1" x14ac:dyDescent="0.2">
      <c r="A33" s="3" t="s">
        <v>242</v>
      </c>
      <c r="B33"/>
      <c r="C33" s="2"/>
      <c r="D33" s="36"/>
      <c r="E33" s="36"/>
      <c r="F33" s="36"/>
      <c r="G33" s="36"/>
      <c r="H33" s="452">
        <v>638</v>
      </c>
      <c r="I33" s="386"/>
      <c r="J33" s="386"/>
      <c r="K33" s="386"/>
      <c r="L33" s="386"/>
      <c r="M33" s="452">
        <v>631</v>
      </c>
      <c r="N33" s="496">
        <v>136.6</v>
      </c>
      <c r="O33" s="496">
        <v>167.3</v>
      </c>
      <c r="P33" s="496">
        <v>172.1</v>
      </c>
      <c r="Q33" s="496">
        <v>145.9</v>
      </c>
      <c r="R33" s="452">
        <f>+N33+O33+P33+Q33</f>
        <v>621.9</v>
      </c>
      <c r="S33" s="478">
        <v>133</v>
      </c>
      <c r="T33" s="478">
        <v>161.30000000000001</v>
      </c>
      <c r="U33" s="478">
        <v>196.5</v>
      </c>
      <c r="V33" s="478">
        <v>159.4</v>
      </c>
      <c r="W33" s="452">
        <f>+S33+T33+U33+V33</f>
        <v>650.20000000000005</v>
      </c>
      <c r="X33" s="353">
        <v>127.6</v>
      </c>
      <c r="Y33" s="355">
        <v>154.80000000000001</v>
      </c>
      <c r="Z33" s="355">
        <v>186.1</v>
      </c>
      <c r="AA33" s="355">
        <v>165.9</v>
      </c>
      <c r="AB33" s="460">
        <v>637.79999999999995</v>
      </c>
      <c r="AC33" s="357">
        <v>143.19999999999999</v>
      </c>
      <c r="AD33" s="357">
        <v>169.7</v>
      </c>
      <c r="AE33" s="357">
        <v>199.4</v>
      </c>
      <c r="AF33" s="356">
        <v>161.9</v>
      </c>
      <c r="AG33" s="451">
        <f>+AC33+AD33+AE33+AF33</f>
        <v>674.19999999999993</v>
      </c>
      <c r="AH33" s="357">
        <v>144.19999999999999</v>
      </c>
      <c r="AI33" s="357">
        <v>175.9</v>
      </c>
      <c r="AJ33" s="357">
        <v>222.7</v>
      </c>
      <c r="AK33" s="357">
        <v>184.2</v>
      </c>
      <c r="AL33" s="451">
        <f>+AH33+AI33+AJ33+AK33</f>
        <v>727</v>
      </c>
      <c r="AM33" s="357">
        <v>168</v>
      </c>
      <c r="AN33" s="357">
        <v>205.7</v>
      </c>
      <c r="AO33" s="357">
        <v>231</v>
      </c>
      <c r="AP33" s="357">
        <v>196.1</v>
      </c>
      <c r="AQ33" s="451">
        <f>+AM33+AN33+AO33+AP33</f>
        <v>800.80000000000007</v>
      </c>
      <c r="AR33" s="357">
        <v>205.6</v>
      </c>
      <c r="AS33" s="357">
        <v>185.1</v>
      </c>
      <c r="AT33" s="357">
        <v>199</v>
      </c>
      <c r="AU33" s="357">
        <v>211</v>
      </c>
      <c r="AV33" s="451">
        <f>+AR33+AS33+AT33+AU33</f>
        <v>800.7</v>
      </c>
      <c r="AW33" s="357">
        <f>+AW41*AW19</f>
        <v>182.46659199999996</v>
      </c>
      <c r="AX33" s="357">
        <f>+AX41*AX19</f>
        <v>204.05932799999999</v>
      </c>
      <c r="AY33" s="357">
        <f>+AY41*AY19</f>
        <v>225.01945000000003</v>
      </c>
      <c r="AZ33" s="357">
        <f>+AZ41*AZ19</f>
        <v>220.21458749999999</v>
      </c>
      <c r="BA33" s="451">
        <f>+AW33+AX33+AY33+AZ33</f>
        <v>831.75995749999993</v>
      </c>
      <c r="BB33" s="357">
        <f>+BB41*BB19</f>
        <v>190.38959603999996</v>
      </c>
      <c r="BC33" s="357">
        <f>+BC41*BC19</f>
        <v>212.87741711999999</v>
      </c>
      <c r="BD33" s="357">
        <f>+BD41*BD19</f>
        <v>234.67040020000005</v>
      </c>
      <c r="BE33" s="357">
        <f>+BE41*BE19</f>
        <v>229.66146771249998</v>
      </c>
      <c r="BF33" s="451">
        <f>+BB33+BC33+BD33+BE33</f>
        <v>867.59888107249992</v>
      </c>
      <c r="BG33" s="357">
        <f>+BG41*BG19</f>
        <v>197.18234526479995</v>
      </c>
      <c r="BH33" s="357">
        <f>+BH41*BH19</f>
        <v>220.4539675872</v>
      </c>
      <c r="BI33" s="357">
        <f>+BI41*BI19</f>
        <v>242.99081693500005</v>
      </c>
      <c r="BJ33" s="357">
        <f>+BJ41*BJ19</f>
        <v>237.8051642575</v>
      </c>
      <c r="BK33" s="451">
        <f>+BG33+BH33+BI33+BJ33</f>
        <v>898.43229404450005</v>
      </c>
      <c r="BL33" s="357">
        <f>+BL41*BL19</f>
        <v>204.02572660933393</v>
      </c>
      <c r="BM33" s="357">
        <f>+BM41*BM19</f>
        <v>228.08919894165601</v>
      </c>
      <c r="BN33" s="357">
        <f>+BN41*BN19</f>
        <v>251.37946966877502</v>
      </c>
      <c r="BO33" s="357">
        <f>+BO41*BO19</f>
        <v>246.01554259275312</v>
      </c>
      <c r="BP33" s="451">
        <f>+BL33+BM33+BN33+BO33</f>
        <v>929.50993781251816</v>
      </c>
      <c r="BQ33" s="357">
        <f>+BQ41*BQ19</f>
        <v>210.58986262981182</v>
      </c>
      <c r="BR33" s="357">
        <f>+BR41*BR19</f>
        <v>235.41135857837963</v>
      </c>
      <c r="BS33" s="357">
        <f>+BS41*BS19</f>
        <v>259.42155383659878</v>
      </c>
      <c r="BT33" s="357">
        <f>+BT41*BT19</f>
        <v>253.88678956528898</v>
      </c>
      <c r="BU33" s="451">
        <f>+BQ33+BR33+BS33+BT33</f>
        <v>959.30956461007918</v>
      </c>
      <c r="BV33" s="489"/>
      <c r="BW33" s="680"/>
      <c r="BX33" s="470"/>
      <c r="BY33" s="470"/>
      <c r="BZ33" s="653"/>
      <c r="CA33" s="663"/>
      <c r="CC33" s="470"/>
      <c r="CD33" s="470"/>
      <c r="CE33" s="653"/>
      <c r="CF33" s="642"/>
      <c r="CG33" s="671"/>
      <c r="CH33" s="671"/>
      <c r="CI33" s="671"/>
      <c r="CJ33" s="646"/>
      <c r="CK33" s="675"/>
      <c r="CL33" s="671"/>
      <c r="CM33" s="671"/>
      <c r="CN33" s="636"/>
    </row>
    <row r="34" spans="1:94" s="309" customFormat="1" x14ac:dyDescent="0.2">
      <c r="A34" s="331" t="s">
        <v>220</v>
      </c>
      <c r="B34"/>
      <c r="C34" s="2"/>
      <c r="D34" s="36"/>
      <c r="E34" s="36"/>
      <c r="F34" s="36"/>
      <c r="G34" s="36"/>
      <c r="H34" s="442"/>
      <c r="I34" s="36"/>
      <c r="J34" s="36"/>
      <c r="K34" s="36"/>
      <c r="L34" s="36"/>
      <c r="M34" s="442"/>
      <c r="N34" s="482"/>
      <c r="O34" s="482"/>
      <c r="P34" s="482"/>
      <c r="Q34" s="482"/>
      <c r="R34" s="442"/>
      <c r="S34" s="471"/>
      <c r="T34" s="471"/>
      <c r="U34" s="471"/>
      <c r="V34" s="471"/>
      <c r="W34" s="453">
        <f>+W33/R33-1</f>
        <v>4.550570831323375E-2</v>
      </c>
      <c r="X34" s="349">
        <f>+X33/S33-1</f>
        <v>-4.0601503759398527E-2</v>
      </c>
      <c r="Y34" s="349">
        <f t="shared" ref="Y34:AK34" si="37">+Y33/T33-1</f>
        <v>-4.0297582145071287E-2</v>
      </c>
      <c r="Z34" s="349">
        <f t="shared" si="37"/>
        <v>-5.292620865139952E-2</v>
      </c>
      <c r="AA34" s="349">
        <f t="shared" si="37"/>
        <v>4.0777917189460444E-2</v>
      </c>
      <c r="AB34" s="453">
        <f>+AB33/W33-1</f>
        <v>-1.9071055059981634E-2</v>
      </c>
      <c r="AC34" s="339">
        <f>+AC33/X33-1</f>
        <v>0.12225705329153591</v>
      </c>
      <c r="AD34" s="338">
        <f>+AD33/Y33-1</f>
        <v>9.6253229974160082E-2</v>
      </c>
      <c r="AE34" s="338">
        <f t="shared" si="37"/>
        <v>7.1466953250940435E-2</v>
      </c>
      <c r="AF34" s="338">
        <f t="shared" si="37"/>
        <v>-2.4110910186859513E-2</v>
      </c>
      <c r="AG34" s="449">
        <f>+AG33/AB33-1</f>
        <v>5.7071182188773939E-2</v>
      </c>
      <c r="AH34" s="338">
        <f>+AH33/AC33-1</f>
        <v>6.9832402234637492E-3</v>
      </c>
      <c r="AI34" s="338">
        <f>+AI33/AD33-1</f>
        <v>3.6535061873895103E-2</v>
      </c>
      <c r="AJ34" s="338">
        <f t="shared" si="37"/>
        <v>0.11685055165496472</v>
      </c>
      <c r="AK34" s="338">
        <f t="shared" si="37"/>
        <v>0.13773934527486098</v>
      </c>
      <c r="AL34" s="449">
        <f t="shared" ref="AL34:AQ34" si="38">+AL33/AG33-1</f>
        <v>7.8315040047463702E-2</v>
      </c>
      <c r="AM34" s="338">
        <f>+AM33/AH33-1</f>
        <v>0.16504854368932054</v>
      </c>
      <c r="AN34" s="338">
        <f t="shared" si="38"/>
        <v>0.1694144400227402</v>
      </c>
      <c r="AO34" s="338">
        <f>+AO33/AJ33-1</f>
        <v>3.7269869779973153E-2</v>
      </c>
      <c r="AP34" s="338">
        <f>+AP33/AK33-1</f>
        <v>6.4603691639522287E-2</v>
      </c>
      <c r="AQ34" s="449">
        <f t="shared" si="38"/>
        <v>0.1015130674002751</v>
      </c>
      <c r="AR34" s="583">
        <f t="shared" ref="AR34:BU34" si="39">+AR33/AM33-1</f>
        <v>0.22380952380952368</v>
      </c>
      <c r="AS34" s="583">
        <f t="shared" si="39"/>
        <v>-0.10014584346135147</v>
      </c>
      <c r="AT34" s="583">
        <f t="shared" si="39"/>
        <v>-0.1385281385281385</v>
      </c>
      <c r="AU34" s="583">
        <f t="shared" si="39"/>
        <v>7.598164201937796E-2</v>
      </c>
      <c r="AV34" s="449">
        <f>+AV33/AQ33-1</f>
        <v>-1.2487512487513452E-4</v>
      </c>
      <c r="AW34" s="583">
        <f t="shared" si="39"/>
        <v>-0.11251657587548658</v>
      </c>
      <c r="AX34" s="583">
        <f t="shared" si="39"/>
        <v>0.10242748784440847</v>
      </c>
      <c r="AY34" s="583">
        <f t="shared" si="39"/>
        <v>0.13075100502512571</v>
      </c>
      <c r="AZ34" s="583">
        <f t="shared" si="39"/>
        <v>4.3671030805687128E-2</v>
      </c>
      <c r="BA34" s="449">
        <f t="shared" si="39"/>
        <v>3.8791004745847291E-2</v>
      </c>
      <c r="BB34" s="338">
        <f t="shared" si="39"/>
        <v>4.3421669430862231E-2</v>
      </c>
      <c r="BC34" s="338">
        <f t="shared" si="39"/>
        <v>4.3213359597067846E-2</v>
      </c>
      <c r="BD34" s="338">
        <f t="shared" si="39"/>
        <v>4.2889404449259816E-2</v>
      </c>
      <c r="BE34" s="338">
        <f t="shared" si="39"/>
        <v>4.2898521481915974E-2</v>
      </c>
      <c r="BF34" s="449">
        <f t="shared" si="39"/>
        <v>4.3088060743174283E-2</v>
      </c>
      <c r="BG34" s="338">
        <f t="shared" si="39"/>
        <v>3.5678153460511952E-2</v>
      </c>
      <c r="BH34" s="338">
        <f t="shared" si="39"/>
        <v>3.559114240346628E-2</v>
      </c>
      <c r="BI34" s="338">
        <f t="shared" si="39"/>
        <v>3.5455757214837735E-2</v>
      </c>
      <c r="BJ34" s="338">
        <f t="shared" si="39"/>
        <v>3.5459568494940807E-2</v>
      </c>
      <c r="BK34" s="449">
        <f t="shared" si="39"/>
        <v>3.5538788309506408E-2</v>
      </c>
      <c r="BL34" s="338">
        <f t="shared" si="39"/>
        <v>3.4705852267574278E-2</v>
      </c>
      <c r="BM34" s="338">
        <f t="shared" si="39"/>
        <v>3.4634129918464263E-2</v>
      </c>
      <c r="BN34" s="338">
        <f t="shared" si="39"/>
        <v>3.452250928486289E-2</v>
      </c>
      <c r="BO34" s="338">
        <f t="shared" si="39"/>
        <v>3.4525651959192771E-2</v>
      </c>
      <c r="BP34" s="449">
        <f t="shared" si="39"/>
        <v>3.4590969151514939E-2</v>
      </c>
      <c r="BQ34" s="338">
        <f t="shared" si="39"/>
        <v>3.2173079981461461E-2</v>
      </c>
      <c r="BR34" s="338">
        <f t="shared" si="39"/>
        <v>3.2102176125387683E-2</v>
      </c>
      <c r="BS34" s="338">
        <f t="shared" si="39"/>
        <v>3.1991809746516831E-2</v>
      </c>
      <c r="BT34" s="338">
        <f t="shared" si="39"/>
        <v>3.1994917433187053E-2</v>
      </c>
      <c r="BU34" s="449">
        <f t="shared" si="39"/>
        <v>3.2059503169692416E-2</v>
      </c>
      <c r="BV34" s="489"/>
      <c r="BW34" s="687"/>
      <c r="BX34" s="688"/>
      <c r="BY34" s="687"/>
      <c r="BZ34" s="681"/>
      <c r="CA34" s="681"/>
      <c r="CC34" s="688"/>
      <c r="CD34" s="688"/>
      <c r="CE34" s="653"/>
      <c r="CF34" s="642"/>
      <c r="CG34" s="676"/>
      <c r="CH34" s="676"/>
      <c r="CI34" s="676"/>
      <c r="CJ34" s="671"/>
      <c r="CK34" s="675"/>
      <c r="CL34" s="671"/>
      <c r="CM34" s="671"/>
      <c r="CN34" s="489"/>
    </row>
    <row r="35" spans="1:94" s="293" customFormat="1" x14ac:dyDescent="0.2">
      <c r="A35" s="3" t="s">
        <v>264</v>
      </c>
      <c r="B35"/>
      <c r="C35" s="2"/>
      <c r="D35" s="341">
        <v>-24.299999999999972</v>
      </c>
      <c r="E35" s="341">
        <v>-20.399999999999984</v>
      </c>
      <c r="F35" s="341">
        <v>-28.00000000000005</v>
      </c>
      <c r="G35" s="341">
        <v>-26.599999999999969</v>
      </c>
      <c r="H35" s="454">
        <v>-99.299999999999898</v>
      </c>
      <c r="I35" s="341">
        <v>-26.4</v>
      </c>
      <c r="J35" s="341">
        <v>-27.5</v>
      </c>
      <c r="K35" s="359">
        <v>-25.5</v>
      </c>
      <c r="L35" s="359">
        <v>-27.1</v>
      </c>
      <c r="M35" s="454">
        <v>-106.5</v>
      </c>
      <c r="N35" s="481">
        <v>-21.1</v>
      </c>
      <c r="O35" s="481">
        <v>-18.7</v>
      </c>
      <c r="P35" s="481">
        <v>-19.3</v>
      </c>
      <c r="Q35" s="481">
        <v>-22.8</v>
      </c>
      <c r="R35" s="454">
        <v>-81.899999999999991</v>
      </c>
      <c r="S35" s="481">
        <v>-23.4</v>
      </c>
      <c r="T35" s="481">
        <v>-20.7</v>
      </c>
      <c r="U35" s="481">
        <v>-23.6</v>
      </c>
      <c r="V35" s="481">
        <v>-25.8</v>
      </c>
      <c r="W35" s="452">
        <f>+S35+T35+U35+V35</f>
        <v>-93.499999999999986</v>
      </c>
      <c r="X35" s="353">
        <v>-24</v>
      </c>
      <c r="Y35" s="353">
        <v>-24.2</v>
      </c>
      <c r="Z35" s="361">
        <v>-23.6</v>
      </c>
      <c r="AA35" s="361">
        <v>-28.1</v>
      </c>
      <c r="AB35" s="461">
        <f>+X35+Y35+Z35+AA35</f>
        <v>-99.9</v>
      </c>
      <c r="AC35" s="360">
        <v>-26.1</v>
      </c>
      <c r="AD35" s="360">
        <v>-27.4</v>
      </c>
      <c r="AE35" s="360">
        <v>-26.1</v>
      </c>
      <c r="AF35" s="360">
        <v>-29.4</v>
      </c>
      <c r="AG35" s="452">
        <f>+AC35+AD35+AE35+AF35</f>
        <v>-109</v>
      </c>
      <c r="AH35" s="360">
        <v>-26.5</v>
      </c>
      <c r="AI35" s="360">
        <v>-30.9</v>
      </c>
      <c r="AJ35" s="360">
        <v>-38.5</v>
      </c>
      <c r="AK35" s="360">
        <v>-29.6</v>
      </c>
      <c r="AL35" s="452">
        <f>+AH35+AI35+AJ35+AK35</f>
        <v>-125.5</v>
      </c>
      <c r="AM35" s="360">
        <v>-28.6</v>
      </c>
      <c r="AN35" s="360">
        <v>-36.200000000000003</v>
      </c>
      <c r="AO35" s="360">
        <v>-35.1</v>
      </c>
      <c r="AP35" s="360">
        <v>-40</v>
      </c>
      <c r="AQ35" s="452">
        <f>+AM35+AN35+AO35+AP35</f>
        <v>-139.9</v>
      </c>
      <c r="AR35" s="360">
        <v>-37.4</v>
      </c>
      <c r="AS35" s="360">
        <v>-41.5</v>
      </c>
      <c r="AT35" s="360">
        <v>-41.3</v>
      </c>
      <c r="AU35" s="360">
        <v>-45.6</v>
      </c>
      <c r="AV35" s="452">
        <f>+AR35+AS35+AT35+AU35</f>
        <v>-165.8</v>
      </c>
      <c r="AW35" s="360">
        <f>+AR35*(1+AW36)</f>
        <v>-42.636000000000003</v>
      </c>
      <c r="AX35" s="360">
        <f>+AS35*(1+AX36)</f>
        <v>-46.480000000000004</v>
      </c>
      <c r="AY35" s="360">
        <f>+AT35*(1+AY36)</f>
        <v>-46.256</v>
      </c>
      <c r="AZ35" s="360">
        <f>+AU35*(1+AZ36)</f>
        <v>-50.160000000000004</v>
      </c>
      <c r="BA35" s="452">
        <f>+AW35+AX35+AY35+AZ35</f>
        <v>-185.53200000000001</v>
      </c>
      <c r="BB35" s="360">
        <f>+AW35*(1+BB36)</f>
        <v>-43.488720000000001</v>
      </c>
      <c r="BC35" s="360">
        <f>+AX35*(1+BC36)</f>
        <v>-47.409600000000005</v>
      </c>
      <c r="BD35" s="360">
        <f>+AY35*(1+BD36)</f>
        <v>-47.18112</v>
      </c>
      <c r="BE35" s="360">
        <f>+AZ35*(1+BE36)</f>
        <v>-51.163200000000003</v>
      </c>
      <c r="BF35" s="452">
        <f>+BB35+BC35+BD35+BE35</f>
        <v>-189.24263999999999</v>
      </c>
      <c r="BG35" s="360">
        <f>+BB35*(1+BG36)</f>
        <v>-44.358494400000005</v>
      </c>
      <c r="BH35" s="360">
        <f>+BC35*(1+BH36)</f>
        <v>-48.357792000000003</v>
      </c>
      <c r="BI35" s="360">
        <f>+BD35*(1+BI36)</f>
        <v>-48.124742400000002</v>
      </c>
      <c r="BJ35" s="360">
        <f>+BE35*(1+BJ36)</f>
        <v>-52.186464000000001</v>
      </c>
      <c r="BK35" s="452">
        <f>+BG35+BH35+BI35+BJ35</f>
        <v>-193.0274928</v>
      </c>
      <c r="BL35" s="360">
        <f>+BG35*(1+BL36)</f>
        <v>-45.245664288000008</v>
      </c>
      <c r="BM35" s="360">
        <f>+BH35*(1+BM36)</f>
        <v>-49.324947840000007</v>
      </c>
      <c r="BN35" s="360">
        <f>+BI35*(1+BN36)</f>
        <v>-49.087237248000001</v>
      </c>
      <c r="BO35" s="360">
        <f>+BJ35*(1+BO36)</f>
        <v>-53.230193280000002</v>
      </c>
      <c r="BP35" s="452">
        <f>+BL35+BM35+BN35+BO35</f>
        <v>-196.88804265600004</v>
      </c>
      <c r="BQ35" s="360">
        <f>+BL35*(1+BQ36)</f>
        <v>-46.15057757376001</v>
      </c>
      <c r="BR35" s="360">
        <f>+BM35*(1+BR36)</f>
        <v>-50.311446796800006</v>
      </c>
      <c r="BS35" s="360">
        <f>+BN35*(1+BS36)</f>
        <v>-50.068981992960005</v>
      </c>
      <c r="BT35" s="360">
        <f>+BO35*(1+BT36)</f>
        <v>-54.2947971456</v>
      </c>
      <c r="BU35" s="452">
        <f>+BQ35+BR35+BS35+BT35</f>
        <v>-200.82580350912002</v>
      </c>
      <c r="BV35" s="494"/>
      <c r="BW35" s="685"/>
      <c r="BX35" s="467"/>
      <c r="BY35" s="467"/>
      <c r="BZ35" s="662"/>
      <c r="CA35" s="663"/>
      <c r="CC35" s="467"/>
      <c r="CD35" s="467"/>
      <c r="CE35" s="662"/>
      <c r="CG35" s="488"/>
      <c r="CH35" s="488"/>
      <c r="CI35" s="488"/>
      <c r="CJ35" s="488"/>
      <c r="CK35" s="488"/>
      <c r="CL35" s="488"/>
      <c r="CM35" s="488"/>
      <c r="CN35" s="488"/>
    </row>
    <row r="36" spans="1:94" s="309" customFormat="1" x14ac:dyDescent="0.2">
      <c r="A36" s="331" t="s">
        <v>220</v>
      </c>
      <c r="B36"/>
      <c r="C36" s="2"/>
      <c r="D36" s="36"/>
      <c r="E36" s="36"/>
      <c r="F36" s="36"/>
      <c r="G36" s="36"/>
      <c r="H36" s="442"/>
      <c r="I36" s="36">
        <f t="shared" ref="I36:X36" si="40">+I35/D35-1</f>
        <v>8.6419753086421025E-2</v>
      </c>
      <c r="J36" s="36">
        <f t="shared" si="40"/>
        <v>0.34803921568627549</v>
      </c>
      <c r="K36" s="36">
        <f t="shared" si="40"/>
        <v>-8.9285714285715856E-2</v>
      </c>
      <c r="L36" s="36">
        <f t="shared" si="40"/>
        <v>1.8796992481204144E-2</v>
      </c>
      <c r="M36" s="442">
        <f t="shared" si="40"/>
        <v>7.2507552870091807E-2</v>
      </c>
      <c r="N36" s="482">
        <f t="shared" si="40"/>
        <v>-0.20075757575757569</v>
      </c>
      <c r="O36" s="482">
        <f t="shared" si="40"/>
        <v>-0.32000000000000006</v>
      </c>
      <c r="P36" s="482">
        <f t="shared" si="40"/>
        <v>-0.24313725490196081</v>
      </c>
      <c r="Q36" s="482">
        <f t="shared" si="40"/>
        <v>-0.15867158671586723</v>
      </c>
      <c r="R36" s="442">
        <f t="shared" si="40"/>
        <v>-0.23098591549295777</v>
      </c>
      <c r="S36" s="471">
        <f t="shared" si="40"/>
        <v>0.1090047393364928</v>
      </c>
      <c r="T36" s="471">
        <f t="shared" si="40"/>
        <v>0.10695187165775399</v>
      </c>
      <c r="U36" s="471">
        <f t="shared" si="40"/>
        <v>0.22279792746114002</v>
      </c>
      <c r="V36" s="471">
        <f t="shared" si="40"/>
        <v>0.13157894736842102</v>
      </c>
      <c r="W36" s="455">
        <f t="shared" si="40"/>
        <v>0.14163614163614158</v>
      </c>
      <c r="X36" s="352">
        <f t="shared" si="40"/>
        <v>2.5641025641025772E-2</v>
      </c>
      <c r="Y36" s="352">
        <f t="shared" ref="Y36:AD36" si="41">+Y35/T35-1</f>
        <v>0.16908212560386482</v>
      </c>
      <c r="Z36" s="352">
        <f t="shared" si="41"/>
        <v>0</v>
      </c>
      <c r="AA36" s="352">
        <f t="shared" si="41"/>
        <v>8.9147286821705363E-2</v>
      </c>
      <c r="AB36" s="445">
        <f t="shared" si="41"/>
        <v>6.8449197860962707E-2</v>
      </c>
      <c r="AC36" s="38">
        <f t="shared" si="41"/>
        <v>8.7500000000000133E-2</v>
      </c>
      <c r="AD36" s="38">
        <f t="shared" si="41"/>
        <v>0.13223140495867769</v>
      </c>
      <c r="AE36" s="38">
        <f t="shared" ref="AE36:AK36" si="42">+AE35/Z35-1</f>
        <v>0.10593220338983045</v>
      </c>
      <c r="AF36" s="38">
        <f t="shared" si="42"/>
        <v>4.6263345195729499E-2</v>
      </c>
      <c r="AG36" s="573">
        <f t="shared" si="42"/>
        <v>9.1091091091090926E-2</v>
      </c>
      <c r="AH36" s="38">
        <f t="shared" si="42"/>
        <v>1.5325670498084198E-2</v>
      </c>
      <c r="AI36" s="38">
        <f t="shared" si="42"/>
        <v>0.12773722627737216</v>
      </c>
      <c r="AJ36" s="38">
        <f t="shared" si="42"/>
        <v>0.47509578544061304</v>
      </c>
      <c r="AK36" s="38">
        <f t="shared" si="42"/>
        <v>6.8027210884353817E-3</v>
      </c>
      <c r="AL36" s="573">
        <f t="shared" ref="AL36:AQ36" si="43">+AL35/AG35-1</f>
        <v>0.15137614678899092</v>
      </c>
      <c r="AM36" s="38">
        <f t="shared" si="43"/>
        <v>7.9245283018867907E-2</v>
      </c>
      <c r="AN36" s="38">
        <f t="shared" si="43"/>
        <v>0.17152103559870557</v>
      </c>
      <c r="AO36" s="38">
        <f t="shared" si="43"/>
        <v>-8.831168831168823E-2</v>
      </c>
      <c r="AP36" s="38">
        <f t="shared" si="43"/>
        <v>0.35135135135135132</v>
      </c>
      <c r="AQ36" s="573">
        <f t="shared" si="43"/>
        <v>0.11474103585657369</v>
      </c>
      <c r="AR36" s="38">
        <f>+AR35/AM35-1</f>
        <v>0.30769230769230749</v>
      </c>
      <c r="AS36" s="38">
        <f>+AS35/AN35-1</f>
        <v>0.14640883977900554</v>
      </c>
      <c r="AT36" s="38">
        <f>+AT35/AO35-1</f>
        <v>0.1766381766381766</v>
      </c>
      <c r="AU36" s="38">
        <f>+AU35/AP35-1</f>
        <v>0.14000000000000012</v>
      </c>
      <c r="AV36" s="573">
        <f>+AV35/AQ35-1</f>
        <v>0.18513223731236605</v>
      </c>
      <c r="AW36" s="68">
        <v>0.14000000000000001</v>
      </c>
      <c r="AX36" s="68">
        <v>0.12</v>
      </c>
      <c r="AY36" s="68">
        <v>0.12</v>
      </c>
      <c r="AZ36" s="68">
        <v>0.1</v>
      </c>
      <c r="BA36" s="573">
        <f>+BA35/AV35-1</f>
        <v>0.11901085645355858</v>
      </c>
      <c r="BB36" s="68">
        <v>0.02</v>
      </c>
      <c r="BC36" s="68">
        <v>0.02</v>
      </c>
      <c r="BD36" s="68">
        <v>0.02</v>
      </c>
      <c r="BE36" s="68">
        <v>0.02</v>
      </c>
      <c r="BF36" s="573">
        <f>+BF35/BA35-1</f>
        <v>2.0000000000000018E-2</v>
      </c>
      <c r="BG36" s="68">
        <v>0.02</v>
      </c>
      <c r="BH36" s="68">
        <v>0.02</v>
      </c>
      <c r="BI36" s="68">
        <v>0.02</v>
      </c>
      <c r="BJ36" s="68">
        <v>0.02</v>
      </c>
      <c r="BK36" s="573">
        <f>+BK35/BF35-1</f>
        <v>2.0000000000000018E-2</v>
      </c>
      <c r="BL36" s="68">
        <v>0.02</v>
      </c>
      <c r="BM36" s="68">
        <v>0.02</v>
      </c>
      <c r="BN36" s="68">
        <v>0.02</v>
      </c>
      <c r="BO36" s="68">
        <v>0.02</v>
      </c>
      <c r="BP36" s="573">
        <f>+BP35/BK35-1</f>
        <v>2.000000000000024E-2</v>
      </c>
      <c r="BQ36" s="68">
        <v>0.02</v>
      </c>
      <c r="BR36" s="68">
        <v>0.02</v>
      </c>
      <c r="BS36" s="68">
        <v>0.02</v>
      </c>
      <c r="BT36" s="68">
        <v>0.02</v>
      </c>
      <c r="BU36" s="573">
        <f>+BU35/BP35-1</f>
        <v>2.0000000000000018E-2</v>
      </c>
      <c r="BV36" s="489"/>
      <c r="BW36" s="680"/>
      <c r="BX36" s="470"/>
      <c r="BY36" s="470"/>
      <c r="BZ36" s="653"/>
      <c r="CA36" s="653"/>
      <c r="CC36" s="635"/>
      <c r="CD36" s="470"/>
      <c r="CE36" s="653"/>
      <c r="CF36" s="642"/>
      <c r="CG36" s="676"/>
      <c r="CH36" s="676"/>
      <c r="CI36" s="676"/>
      <c r="CJ36" s="671"/>
      <c r="CK36" s="671"/>
      <c r="CL36" s="671"/>
      <c r="CM36" s="671"/>
      <c r="CN36" s="489"/>
    </row>
    <row r="37" spans="1:94" s="309" customFormat="1" x14ac:dyDescent="0.2">
      <c r="A37"/>
      <c r="B37"/>
      <c r="C37" s="2"/>
      <c r="D37" s="36"/>
      <c r="E37" s="36"/>
      <c r="F37" s="36"/>
      <c r="G37" s="36"/>
      <c r="H37" s="442"/>
      <c r="I37" s="36"/>
      <c r="J37" s="36"/>
      <c r="K37" s="36"/>
      <c r="L37" s="36"/>
      <c r="M37" s="442"/>
      <c r="N37" s="482"/>
      <c r="O37" s="482"/>
      <c r="P37" s="482"/>
      <c r="Q37" s="482"/>
      <c r="R37" s="442"/>
      <c r="S37" s="482"/>
      <c r="T37" s="482"/>
      <c r="U37" s="482"/>
      <c r="V37" s="482"/>
      <c r="W37" s="442"/>
      <c r="X37" s="300"/>
      <c r="Y37" s="40"/>
      <c r="Z37" s="40"/>
      <c r="AA37" s="40"/>
      <c r="AB37" s="457"/>
      <c r="AC37" s="38"/>
      <c r="AD37" s="36"/>
      <c r="AE37" s="36"/>
      <c r="AF37" s="36"/>
      <c r="AG37" s="442"/>
      <c r="AH37" s="36"/>
      <c r="AI37" s="36"/>
      <c r="AJ37" s="36"/>
      <c r="AK37" s="36"/>
      <c r="AL37" s="442"/>
      <c r="AM37" s="36"/>
      <c r="AN37" s="36"/>
      <c r="AO37" s="286"/>
      <c r="AP37" s="36"/>
      <c r="AQ37" s="442"/>
      <c r="AR37" s="36"/>
      <c r="AS37" s="2"/>
      <c r="AT37" s="47"/>
      <c r="AU37" s="36"/>
      <c r="AV37" s="442"/>
      <c r="AW37" s="36"/>
      <c r="AX37" s="36"/>
      <c r="AY37" s="36"/>
      <c r="AZ37" s="36"/>
      <c r="BA37" s="442"/>
      <c r="BB37" s="36"/>
      <c r="BC37" s="36"/>
      <c r="BD37" s="36"/>
      <c r="BE37" s="36"/>
      <c r="BF37" s="442"/>
      <c r="BG37" s="36"/>
      <c r="BH37" s="36"/>
      <c r="BI37" s="36"/>
      <c r="BJ37" s="36"/>
      <c r="BK37" s="442"/>
      <c r="BL37" s="36"/>
      <c r="BM37" s="36"/>
      <c r="BN37" s="36"/>
      <c r="BO37" s="36"/>
      <c r="BP37" s="442"/>
      <c r="BQ37" s="36"/>
      <c r="BR37" s="36"/>
      <c r="BS37" s="36"/>
      <c r="BT37" s="36"/>
      <c r="BU37" s="442"/>
      <c r="BV37" s="684"/>
      <c r="BW37" s="680"/>
      <c r="BX37" s="470"/>
      <c r="BY37" s="470"/>
      <c r="BZ37" s="653"/>
      <c r="CA37" s="653"/>
      <c r="CC37" s="470"/>
      <c r="CD37" s="470"/>
      <c r="CE37" s="653"/>
      <c r="CF37" s="642"/>
      <c r="CG37" s="671"/>
      <c r="CH37" s="671"/>
      <c r="CI37" s="671"/>
      <c r="CJ37" s="671"/>
      <c r="CK37" s="671"/>
      <c r="CL37" s="671"/>
      <c r="CM37" s="671"/>
      <c r="CN37" s="489"/>
    </row>
    <row r="38" spans="1:94" s="309" customFormat="1" x14ac:dyDescent="0.2">
      <c r="A38" s="3" t="s">
        <v>68</v>
      </c>
      <c r="B38"/>
      <c r="C38" s="2"/>
      <c r="D38" s="36"/>
      <c r="E38" s="36"/>
      <c r="F38" s="36"/>
      <c r="G38" s="36"/>
      <c r="H38" s="442"/>
      <c r="I38" s="36"/>
      <c r="J38" s="36"/>
      <c r="K38" s="36"/>
      <c r="L38" s="36"/>
      <c r="M38" s="442"/>
      <c r="N38" s="482"/>
      <c r="O38" s="482"/>
      <c r="P38" s="482"/>
      <c r="Q38" s="482"/>
      <c r="R38" s="442"/>
      <c r="S38" s="482"/>
      <c r="T38" s="482"/>
      <c r="U38" s="482"/>
      <c r="V38" s="482"/>
      <c r="W38" s="442"/>
      <c r="X38" s="38"/>
      <c r="Y38" s="38"/>
      <c r="Z38" s="38"/>
      <c r="AA38" s="38"/>
      <c r="AB38" s="457"/>
      <c r="AC38" s="38"/>
      <c r="AD38" s="286"/>
      <c r="AE38" s="36"/>
      <c r="AF38" s="36"/>
      <c r="AG38" s="442"/>
      <c r="AH38" s="36"/>
      <c r="AI38" s="36"/>
      <c r="AJ38" s="36"/>
      <c r="AK38" s="36"/>
      <c r="AL38" s="442"/>
      <c r="AM38" s="36"/>
      <c r="AN38" s="36"/>
      <c r="AO38" s="286"/>
      <c r="AP38" s="36"/>
      <c r="AQ38" s="442"/>
      <c r="AR38" s="36"/>
      <c r="AS38" s="36"/>
      <c r="AT38" s="36"/>
      <c r="AU38" s="36"/>
      <c r="AV38" s="442"/>
      <c r="AW38" s="36"/>
      <c r="AX38" s="36"/>
      <c r="AY38" s="36"/>
      <c r="AZ38" s="36"/>
      <c r="BA38" s="442"/>
      <c r="BB38" s="36"/>
      <c r="BC38" s="36"/>
      <c r="BD38" s="36"/>
      <c r="BE38" s="36"/>
      <c r="BF38" s="442"/>
      <c r="BG38" s="36"/>
      <c r="BH38" s="36"/>
      <c r="BI38" s="36"/>
      <c r="BJ38" s="36"/>
      <c r="BK38" s="442"/>
      <c r="BL38" s="36"/>
      <c r="BM38" s="36"/>
      <c r="BN38" s="36"/>
      <c r="BO38" s="36"/>
      <c r="BP38" s="442"/>
      <c r="BQ38" s="36"/>
      <c r="BR38" s="36"/>
      <c r="BS38" s="36"/>
      <c r="BT38" s="36"/>
      <c r="BU38" s="442"/>
      <c r="BV38" s="637"/>
      <c r="BW38" s="680"/>
      <c r="BX38" s="470"/>
      <c r="BY38" s="470"/>
      <c r="BZ38" s="653"/>
      <c r="CA38" s="653"/>
      <c r="CC38" s="470"/>
      <c r="CD38" s="470"/>
      <c r="CE38" s="653"/>
      <c r="CF38" s="642"/>
      <c r="CG38" s="671"/>
      <c r="CH38" s="671"/>
      <c r="CI38" s="671"/>
      <c r="CJ38" s="671"/>
      <c r="CK38" s="671"/>
      <c r="CL38" s="671"/>
      <c r="CM38" s="671"/>
      <c r="CN38" s="489"/>
    </row>
    <row r="39" spans="1:94" s="309" customFormat="1" x14ac:dyDescent="0.2">
      <c r="A39" s="337" t="s">
        <v>223</v>
      </c>
      <c r="B39" s="2"/>
      <c r="C39" s="2"/>
      <c r="D39" s="36"/>
      <c r="E39" s="36"/>
      <c r="F39" s="36"/>
      <c r="G39" s="36"/>
      <c r="H39" s="456"/>
      <c r="I39" s="36"/>
      <c r="J39" s="36"/>
      <c r="K39" s="36"/>
      <c r="L39" s="36"/>
      <c r="M39" s="456"/>
      <c r="N39" s="483">
        <f>+N28/N6</f>
        <v>0.17923522242535039</v>
      </c>
      <c r="O39" s="483">
        <f>+O28/O6</f>
        <v>0.19348010160880608</v>
      </c>
      <c r="P39" s="483">
        <f>+P28/P6</f>
        <v>0.19295842732839188</v>
      </c>
      <c r="Q39" s="483">
        <f>+Q28/Q6</f>
        <v>0.19260801665799065</v>
      </c>
      <c r="R39" s="456">
        <f>+R28/R6</f>
        <v>0.18950778718919556</v>
      </c>
      <c r="S39" s="483">
        <f t="shared" ref="S39:AX39" si="44">+S28/S6</f>
        <v>0.17116785635440429</v>
      </c>
      <c r="T39" s="483">
        <f t="shared" si="44"/>
        <v>0.191001412334387</v>
      </c>
      <c r="U39" s="483">
        <f t="shared" si="44"/>
        <v>0.19166096020695428</v>
      </c>
      <c r="V39" s="483">
        <f t="shared" si="44"/>
        <v>0.19295809165917818</v>
      </c>
      <c r="W39" s="456">
        <f t="shared" si="44"/>
        <v>0.18660153783291852</v>
      </c>
      <c r="X39" s="42">
        <f t="shared" si="44"/>
        <v>0.16557491289198609</v>
      </c>
      <c r="Y39" s="42">
        <f t="shared" si="44"/>
        <v>0.23848901825879867</v>
      </c>
      <c r="Z39" s="42">
        <f t="shared" si="44"/>
        <v>0.25982124298482639</v>
      </c>
      <c r="AA39" s="42">
        <f t="shared" si="44"/>
        <v>0.26161710037174724</v>
      </c>
      <c r="AB39" s="456">
        <f t="shared" si="44"/>
        <v>0.23134604213972643</v>
      </c>
      <c r="AC39" s="42">
        <f t="shared" si="44"/>
        <v>0.26513761467889907</v>
      </c>
      <c r="AD39" s="37">
        <f t="shared" si="44"/>
        <v>0.25715352077631254</v>
      </c>
      <c r="AE39" s="37">
        <f>+AE28/AE6</f>
        <v>0.26941290950373009</v>
      </c>
      <c r="AF39" s="37">
        <f t="shared" si="44"/>
        <v>0.25848177988025722</v>
      </c>
      <c r="AG39" s="456">
        <f t="shared" ref="AG39:AL39" si="45">+AG28/AG6</f>
        <v>0.2626078301260783</v>
      </c>
      <c r="AH39" s="37">
        <f t="shared" si="45"/>
        <v>0.27842824741004107</v>
      </c>
      <c r="AI39" s="37">
        <f t="shared" si="45"/>
        <v>0.28896965501326871</v>
      </c>
      <c r="AJ39" s="37">
        <f t="shared" si="45"/>
        <v>0.29003352636391344</v>
      </c>
      <c r="AK39" s="37">
        <f t="shared" si="45"/>
        <v>0.28168740279937787</v>
      </c>
      <c r="AL39" s="456">
        <f t="shared" si="45"/>
        <v>0.28489401991326124</v>
      </c>
      <c r="AM39" s="37">
        <f>+AM28/AM6</f>
        <v>0.29314029276632114</v>
      </c>
      <c r="AN39" s="37">
        <f t="shared" si="44"/>
        <v>0.30684741737581633</v>
      </c>
      <c r="AO39" s="37">
        <f t="shared" si="44"/>
        <v>0.29362054681027344</v>
      </c>
      <c r="AP39" s="37">
        <f t="shared" ref="AP39:AV39" si="46">+AP28/AP6</f>
        <v>0.30393120393120393</v>
      </c>
      <c r="AQ39" s="456">
        <f t="shared" si="46"/>
        <v>0.29943394939644002</v>
      </c>
      <c r="AR39" s="37">
        <f t="shared" si="46"/>
        <v>0.34554378713510725</v>
      </c>
      <c r="AS39" s="37">
        <f t="shared" si="46"/>
        <v>0.34051331254497486</v>
      </c>
      <c r="AT39" s="37">
        <f t="shared" si="46"/>
        <v>0.30576399310766494</v>
      </c>
      <c r="AU39" s="37">
        <f t="shared" si="46"/>
        <v>0.30834135568265469</v>
      </c>
      <c r="AV39" s="456">
        <f t="shared" si="46"/>
        <v>0.32606460118655239</v>
      </c>
      <c r="AW39" s="37">
        <f t="shared" si="44"/>
        <v>0.3396313192030071</v>
      </c>
      <c r="AX39" s="37">
        <f t="shared" si="44"/>
        <v>0.34704484205474945</v>
      </c>
      <c r="AY39" s="37">
        <f t="shared" ref="AY39:BU39" si="47">+AY28/AY6</f>
        <v>0.31971623999091908</v>
      </c>
      <c r="AZ39" s="37">
        <f t="shared" si="47"/>
        <v>0.31795395961797507</v>
      </c>
      <c r="BA39" s="456">
        <f t="shared" si="47"/>
        <v>0.33186507376494762</v>
      </c>
      <c r="BB39" s="37">
        <f t="shared" si="47"/>
        <v>0.349664149721236</v>
      </c>
      <c r="BC39" s="37">
        <f t="shared" si="47"/>
        <v>0.35712448829061866</v>
      </c>
      <c r="BD39" s="37">
        <f t="shared" si="47"/>
        <v>0.32910292611909059</v>
      </c>
      <c r="BE39" s="37">
        <f t="shared" si="47"/>
        <v>0.32746056617520092</v>
      </c>
      <c r="BF39" s="456">
        <f t="shared" si="47"/>
        <v>0.34165976791531061</v>
      </c>
      <c r="BG39" s="37">
        <f t="shared" si="47"/>
        <v>0.35528655603412274</v>
      </c>
      <c r="BH39" s="37">
        <f t="shared" si="47"/>
        <v>0.36278011728915777</v>
      </c>
      <c r="BI39" s="37">
        <f t="shared" si="47"/>
        <v>0.33436048588121403</v>
      </c>
      <c r="BJ39" s="37">
        <f t="shared" si="47"/>
        <v>0.33281181124395315</v>
      </c>
      <c r="BK39" s="456">
        <f t="shared" si="47"/>
        <v>0.34715871464813514</v>
      </c>
      <c r="BL39" s="37">
        <f t="shared" si="47"/>
        <v>0.36053634998227346</v>
      </c>
      <c r="BM39" s="37">
        <f t="shared" si="47"/>
        <v>0.36805327779223224</v>
      </c>
      <c r="BN39" s="37">
        <f t="shared" si="47"/>
        <v>0.33926186416921411</v>
      </c>
      <c r="BO39" s="37">
        <f t="shared" si="47"/>
        <v>0.33778453623512589</v>
      </c>
      <c r="BP39" s="456">
        <f t="shared" si="47"/>
        <v>0.35228153699119419</v>
      </c>
      <c r="BQ39" s="37">
        <f t="shared" si="47"/>
        <v>0.36460567646256081</v>
      </c>
      <c r="BR39" s="37">
        <f t="shared" si="47"/>
        <v>0.37214768427118944</v>
      </c>
      <c r="BS39" s="37">
        <f t="shared" si="47"/>
        <v>0.34310710370446834</v>
      </c>
      <c r="BT39" s="37">
        <f t="shared" si="47"/>
        <v>0.34169971296210266</v>
      </c>
      <c r="BU39" s="456">
        <f t="shared" si="47"/>
        <v>0.35628140142022691</v>
      </c>
      <c r="BV39" s="489"/>
      <c r="BW39" s="689"/>
      <c r="BX39" s="471"/>
      <c r="BY39" s="471"/>
      <c r="BZ39" s="667"/>
      <c r="CA39" s="667"/>
      <c r="CC39" s="471"/>
      <c r="CD39" s="471"/>
      <c r="CE39" s="667"/>
      <c r="CF39" s="642"/>
      <c r="CG39" s="675"/>
      <c r="CH39" s="675"/>
      <c r="CI39" s="675"/>
      <c r="CJ39" s="671"/>
      <c r="CK39" s="671"/>
      <c r="CL39" s="671"/>
      <c r="CM39" s="671"/>
      <c r="CN39" s="489"/>
    </row>
    <row r="40" spans="1:94" s="309" customFormat="1" x14ac:dyDescent="0.2">
      <c r="A40" s="337" t="s">
        <v>265</v>
      </c>
      <c r="B40"/>
      <c r="C40" s="2"/>
      <c r="D40" s="36">
        <f t="shared" ref="D40:AC40" si="48">+D30/D12</f>
        <v>0.19715224534501644</v>
      </c>
      <c r="E40" s="36">
        <f t="shared" si="48"/>
        <v>0.20778288340034462</v>
      </c>
      <c r="F40" s="36">
        <f t="shared" si="48"/>
        <v>0.18199920350457988</v>
      </c>
      <c r="G40" s="36">
        <f t="shared" si="48"/>
        <v>0.1959378733572282</v>
      </c>
      <c r="H40" s="442">
        <f t="shared" si="48"/>
        <v>0.1968353869337825</v>
      </c>
      <c r="I40" s="36">
        <f t="shared" si="48"/>
        <v>0.17522123893805311</v>
      </c>
      <c r="J40" s="36">
        <f t="shared" si="48"/>
        <v>0.19311156903149837</v>
      </c>
      <c r="K40" s="36">
        <f t="shared" si="48"/>
        <v>0.1898299542184434</v>
      </c>
      <c r="L40" s="36">
        <f t="shared" si="48"/>
        <v>0.20149875104079934</v>
      </c>
      <c r="M40" s="442">
        <f t="shared" si="48"/>
        <v>0.18931004220819925</v>
      </c>
      <c r="N40" s="482">
        <f t="shared" si="48"/>
        <v>0.17682656826568266</v>
      </c>
      <c r="O40" s="482">
        <f t="shared" si="48"/>
        <v>0.17276478679504814</v>
      </c>
      <c r="P40" s="482">
        <f t="shared" si="48"/>
        <v>0.16040703052728955</v>
      </c>
      <c r="Q40" s="482">
        <f t="shared" si="48"/>
        <v>0.18856053384175406</v>
      </c>
      <c r="R40" s="442">
        <f t="shared" si="48"/>
        <v>0.17452925693460214</v>
      </c>
      <c r="S40" s="482">
        <f t="shared" si="48"/>
        <v>0.16986604060212676</v>
      </c>
      <c r="T40" s="482">
        <f t="shared" si="48"/>
        <v>0.18188736681887369</v>
      </c>
      <c r="U40" s="482">
        <f t="shared" si="48"/>
        <v>0.144318597004019</v>
      </c>
      <c r="V40" s="482">
        <f t="shared" si="48"/>
        <v>0.19424460431654675</v>
      </c>
      <c r="W40" s="442">
        <f t="shared" si="48"/>
        <v>0.17309995749777826</v>
      </c>
      <c r="X40" s="36">
        <f t="shared" si="48"/>
        <v>0.17594537815126049</v>
      </c>
      <c r="Y40" s="36">
        <f t="shared" si="48"/>
        <v>0.28222440461576231</v>
      </c>
      <c r="Z40" s="36">
        <f t="shared" si="48"/>
        <v>0.32119105199516323</v>
      </c>
      <c r="AA40" s="36">
        <f t="shared" si="48"/>
        <v>0.3345600535296086</v>
      </c>
      <c r="AB40" s="442">
        <f t="shared" si="48"/>
        <v>0.27380448582310618</v>
      </c>
      <c r="AC40" s="36">
        <f t="shared" si="48"/>
        <v>0.33133571510890858</v>
      </c>
      <c r="AD40" s="36">
        <f t="shared" ref="AD40:AI40" si="49">+AD30/AD12</f>
        <v>0.30399192644090606</v>
      </c>
      <c r="AE40" s="36">
        <f t="shared" si="49"/>
        <v>0.3150631428199453</v>
      </c>
      <c r="AF40" s="36">
        <f t="shared" si="49"/>
        <v>0.3285930408472012</v>
      </c>
      <c r="AG40" s="442">
        <f>+AG30/AG12</f>
        <v>0.31919964874866713</v>
      </c>
      <c r="AH40" s="36">
        <f t="shared" si="49"/>
        <v>0.34841582108096913</v>
      </c>
      <c r="AI40" s="36">
        <f t="shared" si="49"/>
        <v>0.34909269249632169</v>
      </c>
      <c r="AJ40" s="36">
        <f t="shared" ref="AJ40:AO40" si="50">+AJ30/AJ12</f>
        <v>0.3507758931793577</v>
      </c>
      <c r="AK40" s="36">
        <f t="shared" si="50"/>
        <v>0.34751861042183624</v>
      </c>
      <c r="AL40" s="442">
        <f t="shared" si="50"/>
        <v>0.34894826919891792</v>
      </c>
      <c r="AM40" s="36">
        <f t="shared" si="50"/>
        <v>0.35560382276281494</v>
      </c>
      <c r="AN40" s="36">
        <f t="shared" si="50"/>
        <v>0.36867075664621674</v>
      </c>
      <c r="AO40" s="36">
        <f t="shared" si="50"/>
        <v>0.34801990462367821</v>
      </c>
      <c r="AP40" s="36">
        <f t="shared" ref="AP40:AV40" si="51">+AP30/AP12</f>
        <v>0.38004937163375219</v>
      </c>
      <c r="AQ40" s="442">
        <f t="shared" si="51"/>
        <v>0.36280235499964536</v>
      </c>
      <c r="AR40" s="36">
        <f t="shared" si="51"/>
        <v>0.40296224744425663</v>
      </c>
      <c r="AS40" s="36">
        <f t="shared" si="51"/>
        <v>0.4106171586046849</v>
      </c>
      <c r="AT40" s="36">
        <f t="shared" si="51"/>
        <v>0.37727141620997984</v>
      </c>
      <c r="AU40" s="36">
        <f t="shared" si="51"/>
        <v>0.38016446048937025</v>
      </c>
      <c r="AV40" s="442">
        <f t="shared" si="51"/>
        <v>0.39461199957067727</v>
      </c>
      <c r="AW40" s="36">
        <f t="shared" ref="AW40:AZ41" si="52">+AR40+AW45/10000</f>
        <v>0.40496224744425663</v>
      </c>
      <c r="AX40" s="36">
        <f t="shared" si="52"/>
        <v>0.4146171586046849</v>
      </c>
      <c r="AY40" s="36">
        <f t="shared" si="52"/>
        <v>0.38677141620997985</v>
      </c>
      <c r="AZ40" s="36">
        <f t="shared" si="52"/>
        <v>0.39066446048937026</v>
      </c>
      <c r="BA40" s="442">
        <f>+BA30/BA12</f>
        <v>0.40060950462263273</v>
      </c>
      <c r="BB40" s="36">
        <f t="shared" ref="BB40:BE41" si="53">+AW40+BB45/10000</f>
        <v>0.41446224744425664</v>
      </c>
      <c r="BC40" s="36">
        <f t="shared" si="53"/>
        <v>0.42411715860468491</v>
      </c>
      <c r="BD40" s="36">
        <f t="shared" si="53"/>
        <v>0.39627141620997985</v>
      </c>
      <c r="BE40" s="36">
        <f t="shared" si="53"/>
        <v>0.40016446048937027</v>
      </c>
      <c r="BF40" s="442">
        <f>+BF30/BF12</f>
        <v>0.41010950462263279</v>
      </c>
      <c r="BG40" s="36">
        <f t="shared" ref="BG40:BJ41" si="54">+BB40+BG45/10000</f>
        <v>0.41946224744425664</v>
      </c>
      <c r="BH40" s="36">
        <f t="shared" si="54"/>
        <v>0.42911715860468491</v>
      </c>
      <c r="BI40" s="36">
        <f t="shared" si="54"/>
        <v>0.40127141620997986</v>
      </c>
      <c r="BJ40" s="36">
        <f t="shared" si="54"/>
        <v>0.40516446048937027</v>
      </c>
      <c r="BK40" s="442">
        <f>+BK30/BK12</f>
        <v>0.4151095046226328</v>
      </c>
      <c r="BL40" s="36">
        <f t="shared" ref="BL40:BO41" si="55">+BG40+BL45/10000</f>
        <v>0.42446224744425665</v>
      </c>
      <c r="BM40" s="36">
        <f t="shared" si="55"/>
        <v>0.43411715860468492</v>
      </c>
      <c r="BN40" s="36">
        <f t="shared" si="55"/>
        <v>0.40627141620997986</v>
      </c>
      <c r="BO40" s="36">
        <f t="shared" si="55"/>
        <v>0.41016446048937028</v>
      </c>
      <c r="BP40" s="442">
        <f>+BP30/BP12</f>
        <v>0.4201095046226328</v>
      </c>
      <c r="BQ40" s="36">
        <f t="shared" ref="BQ40:BT41" si="56">+BL40+BQ45/10000</f>
        <v>0.42796224744425665</v>
      </c>
      <c r="BR40" s="36">
        <f t="shared" si="56"/>
        <v>0.43761715860468492</v>
      </c>
      <c r="BS40" s="36">
        <f t="shared" si="56"/>
        <v>0.40977141620997987</v>
      </c>
      <c r="BT40" s="36">
        <f t="shared" si="56"/>
        <v>0.41366446048937028</v>
      </c>
      <c r="BU40" s="442">
        <f>+BU30/BU12</f>
        <v>0.42360950462263275</v>
      </c>
      <c r="BV40" s="690"/>
      <c r="BW40" s="689"/>
      <c r="BX40" s="471"/>
      <c r="BY40" s="471"/>
      <c r="BZ40" s="667"/>
      <c r="CA40" s="667"/>
      <c r="CC40" s="471"/>
      <c r="CD40" s="471"/>
      <c r="CE40" s="667"/>
      <c r="CF40" s="642"/>
      <c r="CG40" s="675"/>
      <c r="CH40" s="675"/>
      <c r="CI40" s="675"/>
      <c r="CJ40" s="671"/>
      <c r="CK40" s="671"/>
      <c r="CL40" s="671"/>
      <c r="CM40" s="671"/>
      <c r="CN40" s="482"/>
      <c r="CP40" s="638"/>
    </row>
    <row r="41" spans="1:94" s="309" customFormat="1" x14ac:dyDescent="0.2">
      <c r="A41" s="337" t="s">
        <v>242</v>
      </c>
      <c r="B41"/>
      <c r="C41" s="2"/>
      <c r="D41" s="36"/>
      <c r="E41" s="36"/>
      <c r="F41" s="36"/>
      <c r="G41" s="36"/>
      <c r="H41" s="442">
        <f>+H33/H19</f>
        <v>0.26204460508481542</v>
      </c>
      <c r="I41" s="36"/>
      <c r="J41" s="36"/>
      <c r="K41" s="36"/>
      <c r="L41" s="36"/>
      <c r="M41" s="442">
        <f>+M33/M19</f>
        <v>0.24674461345950804</v>
      </c>
      <c r="N41" s="482">
        <f t="shared" ref="N41:W41" si="57">+N33/N19</f>
        <v>0.21501652762474421</v>
      </c>
      <c r="O41" s="482">
        <f t="shared" si="57"/>
        <v>0.24239350912778904</v>
      </c>
      <c r="P41" s="482">
        <f t="shared" si="57"/>
        <v>0.24561153132581701</v>
      </c>
      <c r="Q41" s="482">
        <f t="shared" si="57"/>
        <v>0.23228785225282597</v>
      </c>
      <c r="R41" s="442">
        <f>+R33/R19</f>
        <v>0.23429906189955918</v>
      </c>
      <c r="S41" s="482">
        <f t="shared" si="57"/>
        <v>0.20951480781348458</v>
      </c>
      <c r="T41" s="482">
        <f t="shared" si="57"/>
        <v>0.23092340730136007</v>
      </c>
      <c r="U41" s="482">
        <f t="shared" si="57"/>
        <v>0.25622636588864262</v>
      </c>
      <c r="V41" s="482">
        <f t="shared" si="57"/>
        <v>0.22905589883603969</v>
      </c>
      <c r="W41" s="442">
        <f t="shared" si="57"/>
        <v>0.23253817817674621</v>
      </c>
      <c r="X41" s="38">
        <f t="shared" ref="X41:AD41" si="58">+X33/X19</f>
        <v>0.18948618948618945</v>
      </c>
      <c r="Y41" s="38">
        <f t="shared" si="58"/>
        <v>0.22209469153515066</v>
      </c>
      <c r="Z41" s="38">
        <f t="shared" si="58"/>
        <v>0.23807087117820133</v>
      </c>
      <c r="AA41" s="38">
        <f t="shared" si="58"/>
        <v>0.23925584078453996</v>
      </c>
      <c r="AB41" s="442">
        <f t="shared" si="58"/>
        <v>0.22414338429098571</v>
      </c>
      <c r="AC41" s="38">
        <f t="shared" si="58"/>
        <v>0.21753000151906426</v>
      </c>
      <c r="AD41" s="38">
        <f t="shared" si="58"/>
        <v>0.23707739592064822</v>
      </c>
      <c r="AE41" s="38">
        <f t="shared" ref="AE41:AJ41" si="59">+AE33/AE19</f>
        <v>0.25782260149987074</v>
      </c>
      <c r="AF41" s="38">
        <f t="shared" si="59"/>
        <v>0.23399335164041049</v>
      </c>
      <c r="AG41" s="442">
        <f t="shared" si="59"/>
        <v>0.23744453053461995</v>
      </c>
      <c r="AH41" s="38">
        <f t="shared" si="59"/>
        <v>0.216679188580015</v>
      </c>
      <c r="AI41" s="38">
        <f t="shared" si="59"/>
        <v>0.24639305224821406</v>
      </c>
      <c r="AJ41" s="38">
        <f t="shared" si="59"/>
        <v>0.27521008403361341</v>
      </c>
      <c r="AK41" s="38">
        <f>+AK33/AK19</f>
        <v>0.24986435160065107</v>
      </c>
      <c r="AL41" s="442">
        <f t="shared" ref="AL41:AQ41" si="60">+AL33/AL19</f>
        <v>0.24847904846537697</v>
      </c>
      <c r="AM41" s="38">
        <f t="shared" si="60"/>
        <v>0.2330743618201998</v>
      </c>
      <c r="AN41" s="38">
        <f t="shared" si="60"/>
        <v>0.25754350820082633</v>
      </c>
      <c r="AO41" s="38">
        <f t="shared" si="60"/>
        <v>0.27308192457737324</v>
      </c>
      <c r="AP41" s="38">
        <f>+AP33/AP19</f>
        <v>0.26615092290988057</v>
      </c>
      <c r="AQ41" s="442">
        <f t="shared" si="60"/>
        <v>0.25813938495261429</v>
      </c>
      <c r="AR41" s="38">
        <f>+AR33/AR19</f>
        <v>0.29659549913444888</v>
      </c>
      <c r="AS41" s="38">
        <f>+AS33/AS19</f>
        <v>0.26232993197278909</v>
      </c>
      <c r="AT41" s="38">
        <f>+AT33/AT19</f>
        <v>0.2621870882740448</v>
      </c>
      <c r="AU41" s="38">
        <f>+AU33/AU19</f>
        <v>0.27448939768440223</v>
      </c>
      <c r="AV41" s="442">
        <f>+AV33/AV19</f>
        <v>0.27360328036904152</v>
      </c>
      <c r="AW41" s="36">
        <f t="shared" si="52"/>
        <v>0.26859549913444886</v>
      </c>
      <c r="AX41" s="36">
        <f t="shared" si="52"/>
        <v>0.2728299319727891</v>
      </c>
      <c r="AY41" s="36">
        <f t="shared" si="52"/>
        <v>0.27968708827404481</v>
      </c>
      <c r="AZ41" s="36">
        <f t="shared" si="52"/>
        <v>0.27948939768440223</v>
      </c>
      <c r="BA41" s="442">
        <f>+BA33/BA19</f>
        <v>0.27544187567131423</v>
      </c>
      <c r="BB41" s="36">
        <f t="shared" si="53"/>
        <v>0.27209549913444886</v>
      </c>
      <c r="BC41" s="36">
        <f t="shared" si="53"/>
        <v>0.2763299319727891</v>
      </c>
      <c r="BD41" s="36">
        <f t="shared" si="53"/>
        <v>0.28318708827404482</v>
      </c>
      <c r="BE41" s="36">
        <f t="shared" si="53"/>
        <v>0.28298939768440223</v>
      </c>
      <c r="BF41" s="442">
        <f>+BF33/BF19</f>
        <v>0.27894187567131418</v>
      </c>
      <c r="BG41" s="36">
        <f t="shared" si="54"/>
        <v>0.27359549913444886</v>
      </c>
      <c r="BH41" s="36">
        <f t="shared" si="54"/>
        <v>0.2778299319727891</v>
      </c>
      <c r="BI41" s="36">
        <f t="shared" si="54"/>
        <v>0.28468708827404482</v>
      </c>
      <c r="BJ41" s="36">
        <f t="shared" si="54"/>
        <v>0.28448939768440223</v>
      </c>
      <c r="BK41" s="442">
        <f>+BK33/BK19</f>
        <v>0.28044187567131429</v>
      </c>
      <c r="BL41" s="36">
        <f t="shared" si="55"/>
        <v>0.27484549913444883</v>
      </c>
      <c r="BM41" s="36">
        <f t="shared" si="55"/>
        <v>0.27907993197278907</v>
      </c>
      <c r="BN41" s="36">
        <f t="shared" si="55"/>
        <v>0.28593708827404479</v>
      </c>
      <c r="BO41" s="36">
        <f t="shared" si="55"/>
        <v>0.28573939768440221</v>
      </c>
      <c r="BP41" s="442">
        <f>+BP33/BP19</f>
        <v>0.28169187567131426</v>
      </c>
      <c r="BQ41" s="36">
        <f t="shared" si="56"/>
        <v>0.27609549913444881</v>
      </c>
      <c r="BR41" s="36">
        <f t="shared" si="56"/>
        <v>0.28032993197278905</v>
      </c>
      <c r="BS41" s="36">
        <f t="shared" si="56"/>
        <v>0.28718708827404477</v>
      </c>
      <c r="BT41" s="36">
        <f t="shared" si="56"/>
        <v>0.28698939768440218</v>
      </c>
      <c r="BU41" s="442">
        <f>+BU33/BU19</f>
        <v>0.28294187567131424</v>
      </c>
      <c r="BV41" s="489"/>
      <c r="BW41" s="689"/>
      <c r="BX41" s="471"/>
      <c r="BY41" s="471"/>
      <c r="BZ41" s="667"/>
      <c r="CA41" s="667"/>
      <c r="CC41" s="471"/>
      <c r="CD41" s="471"/>
      <c r="CE41" s="667"/>
      <c r="CF41" s="642"/>
      <c r="CG41" s="675"/>
      <c r="CH41" s="675"/>
      <c r="CI41" s="675"/>
      <c r="CJ41" s="671"/>
      <c r="CK41" s="671"/>
      <c r="CL41" s="671"/>
      <c r="CM41" s="671"/>
      <c r="CN41" s="691"/>
    </row>
    <row r="42" spans="1:94" s="309" customFormat="1" x14ac:dyDescent="0.2">
      <c r="A42" s="337" t="str">
        <f>+A35</f>
        <v>Corporate</v>
      </c>
      <c r="B42" s="11"/>
      <c r="C42" s="2"/>
      <c r="D42" s="36"/>
      <c r="E42" s="36"/>
      <c r="F42" s="36"/>
      <c r="G42" s="36"/>
      <c r="H42" s="442"/>
      <c r="I42" s="36"/>
      <c r="J42" s="36"/>
      <c r="K42" s="36"/>
      <c r="L42" s="36"/>
      <c r="M42" s="442"/>
      <c r="N42" s="482"/>
      <c r="O42" s="482"/>
      <c r="P42" s="482"/>
      <c r="Q42" s="482"/>
      <c r="R42" s="442"/>
      <c r="S42" s="482"/>
      <c r="T42" s="482"/>
      <c r="U42" s="482"/>
      <c r="V42" s="482"/>
      <c r="W42" s="442"/>
      <c r="X42" s="38"/>
      <c r="Y42" s="38"/>
      <c r="Z42" s="38"/>
      <c r="AA42" s="38"/>
      <c r="AB42" s="442"/>
      <c r="AC42" s="38"/>
      <c r="AD42" s="36"/>
      <c r="AE42" s="36"/>
      <c r="AF42" s="36"/>
      <c r="AG42" s="573"/>
      <c r="AH42" s="518"/>
      <c r="AI42" s="518"/>
      <c r="AJ42" s="518"/>
      <c r="AK42" s="518"/>
      <c r="AL42" s="573">
        <f>-AL35/AL6</f>
        <v>1.9164986867020953E-2</v>
      </c>
      <c r="AM42" s="518"/>
      <c r="AN42" s="518"/>
      <c r="AO42" s="518"/>
      <c r="AP42" s="518"/>
      <c r="AQ42" s="573">
        <f>-AQ35/AQ6</f>
        <v>1.9082043238082248E-2</v>
      </c>
      <c r="AR42" s="518"/>
      <c r="AS42" s="518"/>
      <c r="AT42" s="518"/>
      <c r="AU42" s="518"/>
      <c r="AV42" s="573">
        <f>-AV35/AV6</f>
        <v>2.1858932102834544E-2</v>
      </c>
      <c r="AW42" s="36"/>
      <c r="AX42" s="36"/>
      <c r="AY42" s="36"/>
      <c r="AZ42" s="36"/>
      <c r="BA42" s="573">
        <f>-BA35/BA6</f>
        <v>2.2633882118032272E-2</v>
      </c>
      <c r="BB42" s="36"/>
      <c r="BC42" s="36"/>
      <c r="BD42" s="36"/>
      <c r="BE42" s="36"/>
      <c r="BF42" s="573">
        <f>-BF35/BF6</f>
        <v>2.1689985281344151E-2</v>
      </c>
      <c r="BG42" s="36"/>
      <c r="BH42" s="36"/>
      <c r="BI42" s="36"/>
      <c r="BJ42" s="36"/>
      <c r="BK42" s="573">
        <f>-BK35/BK6</f>
        <v>2.1004579996069608E-2</v>
      </c>
      <c r="BL42" s="36"/>
      <c r="BM42" s="36"/>
      <c r="BN42" s="36"/>
      <c r="BO42" s="36"/>
      <c r="BP42" s="573"/>
      <c r="BQ42" s="36"/>
      <c r="BR42" s="36"/>
      <c r="BS42" s="36"/>
      <c r="BT42" s="36"/>
      <c r="BU42" s="573"/>
      <c r="BV42" s="489"/>
      <c r="BW42" s="680"/>
      <c r="BY42" s="470"/>
      <c r="BZ42" s="653"/>
      <c r="CA42" s="653"/>
      <c r="CC42" s="470"/>
      <c r="CD42" s="470"/>
      <c r="CE42" s="653"/>
      <c r="CF42" s="642"/>
      <c r="CG42" s="671"/>
      <c r="CH42" s="671"/>
      <c r="CI42" s="671"/>
      <c r="CJ42" s="671"/>
      <c r="CK42" s="671"/>
      <c r="CL42" s="671"/>
      <c r="CM42" s="671"/>
      <c r="CN42" s="489"/>
    </row>
    <row r="43" spans="1:94" s="309" customFormat="1" x14ac:dyDescent="0.2">
      <c r="A43" s="3" t="s">
        <v>263</v>
      </c>
      <c r="B43"/>
      <c r="C43" s="2"/>
      <c r="D43" s="36"/>
      <c r="E43" s="36"/>
      <c r="F43" s="36"/>
      <c r="G43" s="36"/>
      <c r="H43" s="442"/>
      <c r="I43" s="36"/>
      <c r="J43" s="36"/>
      <c r="K43" s="36"/>
      <c r="L43" s="36"/>
      <c r="M43" s="442"/>
      <c r="N43" s="482"/>
      <c r="O43" s="482"/>
      <c r="P43" s="482"/>
      <c r="Q43" s="482"/>
      <c r="R43" s="442"/>
      <c r="S43" s="482"/>
      <c r="T43" s="482"/>
      <c r="U43" s="482"/>
      <c r="V43" s="482"/>
      <c r="W43" s="442"/>
      <c r="X43" s="38"/>
      <c r="Y43" s="38"/>
      <c r="Z43" s="38"/>
      <c r="AA43" s="38"/>
      <c r="AB43" s="442"/>
      <c r="AC43" s="38"/>
      <c r="AD43" s="36"/>
      <c r="AE43" s="36"/>
      <c r="AF43" s="36"/>
      <c r="AG43" s="442"/>
      <c r="AH43" s="36"/>
      <c r="AI43" s="36"/>
      <c r="AJ43" s="36"/>
      <c r="AK43" s="36"/>
      <c r="AL43" s="442"/>
      <c r="AM43" s="36"/>
      <c r="AN43" s="36"/>
      <c r="AO43" s="36"/>
      <c r="AP43" s="36"/>
      <c r="AQ43" s="442"/>
      <c r="AR43" s="36"/>
      <c r="AS43" s="36"/>
      <c r="AT43" s="36"/>
      <c r="AU43" s="36"/>
      <c r="AV43" s="442"/>
      <c r="AW43" s="36"/>
      <c r="AX43" s="36"/>
      <c r="AY43" s="36"/>
      <c r="AZ43" s="36"/>
      <c r="BA43" s="442"/>
      <c r="BB43" s="47"/>
      <c r="BC43" s="36"/>
      <c r="BD43" s="36"/>
      <c r="BE43" s="36"/>
      <c r="BF43" s="442"/>
      <c r="BG43" s="52"/>
      <c r="BH43" s="52"/>
      <c r="BI43" s="52"/>
      <c r="BJ43" s="52"/>
      <c r="BK43" s="442"/>
      <c r="BL43" s="36"/>
      <c r="BM43" s="36"/>
      <c r="BN43" s="36"/>
      <c r="BO43" s="36"/>
      <c r="BP43" s="442"/>
      <c r="BQ43" s="36"/>
      <c r="BR43" s="36"/>
      <c r="BS43" s="36"/>
      <c r="BT43" s="36"/>
      <c r="BU43" s="442"/>
      <c r="BV43" s="489"/>
      <c r="BW43" s="680"/>
      <c r="BX43" s="470"/>
      <c r="BY43" s="470"/>
      <c r="BZ43" s="653"/>
      <c r="CA43" s="653"/>
      <c r="CC43" s="470"/>
      <c r="CD43" s="470"/>
      <c r="CE43" s="653"/>
      <c r="CF43" s="642"/>
      <c r="CG43" s="671"/>
      <c r="CH43" s="671"/>
      <c r="CI43" s="671"/>
      <c r="CJ43" s="671"/>
      <c r="CK43" s="671"/>
      <c r="CL43" s="671"/>
      <c r="CM43" s="671"/>
      <c r="CN43" s="489"/>
    </row>
    <row r="44" spans="1:94" s="309" customFormat="1" x14ac:dyDescent="0.2">
      <c r="A44" s="331" t="str">
        <f>+A39</f>
        <v>Total</v>
      </c>
      <c r="B44" s="2"/>
      <c r="C44" s="2"/>
      <c r="D44" s="36"/>
      <c r="E44" s="36"/>
      <c r="F44" s="36"/>
      <c r="G44" s="36"/>
      <c r="H44" s="442"/>
      <c r="I44" s="36"/>
      <c r="J44" s="36"/>
      <c r="K44" s="36"/>
      <c r="L44" s="36"/>
      <c r="M44" s="442"/>
      <c r="N44" s="482"/>
      <c r="O44" s="482"/>
      <c r="P44" s="482"/>
      <c r="Q44" s="482"/>
      <c r="R44" s="442"/>
      <c r="S44" s="484"/>
      <c r="T44" s="484"/>
      <c r="U44" s="484"/>
      <c r="V44" s="484"/>
      <c r="W44" s="457"/>
      <c r="X44" s="362">
        <f t="shared" ref="X44:BU44" si="61">+(X39-S39)*10000</f>
        <v>-55.929434624182036</v>
      </c>
      <c r="Y44" s="362">
        <f t="shared" ref="Y44:AC45" si="62">+(Y39-T39)*10000</f>
        <v>474.87605924411673</v>
      </c>
      <c r="Z44" s="362">
        <f t="shared" si="62"/>
        <v>681.60282777872112</v>
      </c>
      <c r="AA44" s="362">
        <f t="shared" si="62"/>
        <v>686.5900871256905</v>
      </c>
      <c r="AB44" s="463">
        <f t="shared" si="62"/>
        <v>447.44504306807903</v>
      </c>
      <c r="AC44" s="362">
        <f t="shared" si="62"/>
        <v>995.62701786912987</v>
      </c>
      <c r="AD44" s="363">
        <f t="shared" si="61"/>
        <v>186.64502517513864</v>
      </c>
      <c r="AE44" s="363">
        <f t="shared" ref="AE44:AH46" si="63">+(AE39-Z39)*10000</f>
        <v>95.916665189036962</v>
      </c>
      <c r="AF44" s="363">
        <f t="shared" si="63"/>
        <v>-31.353204914900125</v>
      </c>
      <c r="AG44" s="457">
        <f t="shared" si="61"/>
        <v>312.61787986351874</v>
      </c>
      <c r="AH44" s="363">
        <f t="shared" si="63"/>
        <v>132.90632731142006</v>
      </c>
      <c r="AI44" s="363">
        <f t="shared" ref="AI44:AK46" si="64">+(AI39-AD39)*10000</f>
        <v>318.16134236956174</v>
      </c>
      <c r="AJ44" s="363">
        <f t="shared" si="64"/>
        <v>206.2061686018335</v>
      </c>
      <c r="AK44" s="363">
        <f t="shared" si="64"/>
        <v>232.05622919120651</v>
      </c>
      <c r="AL44" s="457">
        <f t="shared" ref="AL44:AO46" si="65">+(AL39-AG39)*10000</f>
        <v>222.86189787182943</v>
      </c>
      <c r="AM44" s="363">
        <f t="shared" si="65"/>
        <v>147.12045356280069</v>
      </c>
      <c r="AN44" s="363">
        <f t="shared" si="65"/>
        <v>178.77762362547622</v>
      </c>
      <c r="AO44" s="286">
        <f t="shared" ref="AO44:AQ45" si="66">+(AO39-AJ39)*10000</f>
        <v>35.870204463600011</v>
      </c>
      <c r="AP44" s="286">
        <f t="shared" si="66"/>
        <v>222.43801131826058</v>
      </c>
      <c r="AQ44" s="457">
        <f t="shared" si="66"/>
        <v>145.39929483178781</v>
      </c>
      <c r="AR44" s="286">
        <f t="shared" ref="AR44:AT46" si="67">+(AR39-AM39)*10000</f>
        <v>524.03494368786107</v>
      </c>
      <c r="AS44" s="286">
        <f t="shared" si="67"/>
        <v>336.65895169158523</v>
      </c>
      <c r="AT44" s="286">
        <f>+(AT39-AO39)*10000</f>
        <v>121.43446297391503</v>
      </c>
      <c r="AU44" s="286">
        <f>+(AU39-AP39)*10000</f>
        <v>44.101517514507634</v>
      </c>
      <c r="AV44" s="457">
        <f>+(AV39-AQ39)*10000</f>
        <v>266.3065179011237</v>
      </c>
      <c r="AW44" s="286">
        <f t="shared" si="61"/>
        <v>-59.124679321001516</v>
      </c>
      <c r="AX44" s="286">
        <f t="shared" si="61"/>
        <v>65.315295097745917</v>
      </c>
      <c r="AY44" s="286">
        <f t="shared" si="61"/>
        <v>139.52246883254139</v>
      </c>
      <c r="AZ44" s="286">
        <f t="shared" si="61"/>
        <v>96.126039353203737</v>
      </c>
      <c r="BA44" s="457">
        <f t="shared" si="61"/>
        <v>58.004725783952217</v>
      </c>
      <c r="BB44" s="286">
        <f t="shared" si="61"/>
        <v>100.32830518228897</v>
      </c>
      <c r="BC44" s="286">
        <f t="shared" si="61"/>
        <v>100.79646235869211</v>
      </c>
      <c r="BD44" s="286">
        <f t="shared" si="61"/>
        <v>93.86686128171506</v>
      </c>
      <c r="BE44" s="286">
        <f t="shared" si="61"/>
        <v>95.066065572258495</v>
      </c>
      <c r="BF44" s="457">
        <f t="shared" si="61"/>
        <v>97.94694150362993</v>
      </c>
      <c r="BG44" s="427">
        <f t="shared" si="61"/>
        <v>56.224063128867407</v>
      </c>
      <c r="BH44" s="427">
        <f t="shared" si="61"/>
        <v>56.556289985391082</v>
      </c>
      <c r="BI44" s="427">
        <f t="shared" si="61"/>
        <v>52.575597621234429</v>
      </c>
      <c r="BJ44" s="427">
        <f t="shared" si="61"/>
        <v>53.512450687522303</v>
      </c>
      <c r="BK44" s="457">
        <f t="shared" si="61"/>
        <v>54.989467328245276</v>
      </c>
      <c r="BL44" s="286">
        <f t="shared" si="61"/>
        <v>52.497939481507274</v>
      </c>
      <c r="BM44" s="286">
        <f t="shared" si="61"/>
        <v>52.731605030744703</v>
      </c>
      <c r="BN44" s="286">
        <f t="shared" si="61"/>
        <v>49.013782880000804</v>
      </c>
      <c r="BO44" s="286">
        <f t="shared" si="61"/>
        <v>49.727249911727391</v>
      </c>
      <c r="BP44" s="457">
        <f t="shared" si="61"/>
        <v>51.228223430590525</v>
      </c>
      <c r="BQ44" s="286">
        <f t="shared" si="61"/>
        <v>40.6932648028735</v>
      </c>
      <c r="BR44" s="286">
        <f t="shared" si="61"/>
        <v>40.944064789572025</v>
      </c>
      <c r="BS44" s="286">
        <f t="shared" si="61"/>
        <v>38.452395352542304</v>
      </c>
      <c r="BT44" s="286">
        <f t="shared" si="61"/>
        <v>39.151767269767767</v>
      </c>
      <c r="BU44" s="457">
        <f t="shared" si="61"/>
        <v>39.998644290327178</v>
      </c>
      <c r="BV44" s="489"/>
      <c r="BW44" s="680"/>
      <c r="BX44" s="692"/>
      <c r="BY44" s="693"/>
      <c r="BZ44" s="694"/>
      <c r="CA44" s="667"/>
      <c r="CC44" s="695"/>
      <c r="CD44" s="695"/>
      <c r="CE44" s="667"/>
      <c r="CF44" s="642"/>
      <c r="CG44" s="671"/>
      <c r="CH44" s="671"/>
      <c r="CI44" s="671"/>
      <c r="CJ44" s="671"/>
      <c r="CK44" s="671"/>
      <c r="CL44" s="671"/>
      <c r="CM44" s="671"/>
      <c r="CN44" s="489"/>
    </row>
    <row r="45" spans="1:94" s="309" customFormat="1" x14ac:dyDescent="0.2">
      <c r="A45" s="331" t="str">
        <f>+A40</f>
        <v xml:space="preserve">Beer </v>
      </c>
      <c r="B45"/>
      <c r="C45" s="2"/>
      <c r="D45" s="65"/>
      <c r="E45" s="65"/>
      <c r="F45" s="65"/>
      <c r="G45" s="65"/>
      <c r="H45" s="458"/>
      <c r="I45" s="65">
        <f t="shared" ref="I45:X45" si="68">+(I40-D40)*10000</f>
        <v>-219.31006406963326</v>
      </c>
      <c r="J45" s="65">
        <f t="shared" si="68"/>
        <v>-146.71314368846251</v>
      </c>
      <c r="K45" s="65">
        <f t="shared" si="68"/>
        <v>78.307507138635216</v>
      </c>
      <c r="L45" s="65">
        <f t="shared" si="68"/>
        <v>55.60877683571136</v>
      </c>
      <c r="M45" s="458">
        <f t="shared" si="68"/>
        <v>-75.253447255832498</v>
      </c>
      <c r="N45" s="485">
        <f t="shared" si="68"/>
        <v>16.053293276295509</v>
      </c>
      <c r="O45" s="485">
        <f t="shared" si="68"/>
        <v>-203.46782236450227</v>
      </c>
      <c r="P45" s="485">
        <f t="shared" si="68"/>
        <v>-294.22923691153846</v>
      </c>
      <c r="Q45" s="485">
        <f t="shared" si="68"/>
        <v>-129.38217199045283</v>
      </c>
      <c r="R45" s="458">
        <f t="shared" si="68"/>
        <v>-147.80785273597107</v>
      </c>
      <c r="S45" s="485">
        <f t="shared" si="68"/>
        <v>-69.605276635558994</v>
      </c>
      <c r="T45" s="485">
        <f t="shared" si="68"/>
        <v>91.225800238255445</v>
      </c>
      <c r="U45" s="485">
        <f t="shared" si="68"/>
        <v>-160.88433523270552</v>
      </c>
      <c r="V45" s="485">
        <f t="shared" si="68"/>
        <v>56.840704747926907</v>
      </c>
      <c r="W45" s="458">
        <f t="shared" si="68"/>
        <v>-14.292994368238777</v>
      </c>
      <c r="X45" s="39">
        <f t="shared" si="68"/>
        <v>60.793375491337287</v>
      </c>
      <c r="Y45" s="39">
        <f t="shared" si="62"/>
        <v>1003.3703779688863</v>
      </c>
      <c r="Z45" s="39">
        <f t="shared" si="62"/>
        <v>1768.7245499114424</v>
      </c>
      <c r="AA45" s="39">
        <f t="shared" si="62"/>
        <v>1403.1544921306186</v>
      </c>
      <c r="AB45" s="459">
        <f t="shared" si="62"/>
        <v>1007.0452832532792</v>
      </c>
      <c r="AC45" s="39">
        <f t="shared" si="62"/>
        <v>1553.9033695764808</v>
      </c>
      <c r="AD45" s="39">
        <f>+(AD40-Y40)*10000</f>
        <v>217.67521825143743</v>
      </c>
      <c r="AE45" s="39">
        <f t="shared" si="63"/>
        <v>-61.279091752179383</v>
      </c>
      <c r="AF45" s="39">
        <f t="shared" si="63"/>
        <v>-59.670126824074018</v>
      </c>
      <c r="AG45" s="571">
        <f>+(AG40-AB40)*10000</f>
        <v>453.95162925560948</v>
      </c>
      <c r="AH45" s="39">
        <f>+(AH40-AC40)*10000</f>
        <v>170.80105972060556</v>
      </c>
      <c r="AI45" s="39">
        <f t="shared" si="64"/>
        <v>451.0076605541563</v>
      </c>
      <c r="AJ45" s="39">
        <f t="shared" si="64"/>
        <v>357.12750359412405</v>
      </c>
      <c r="AK45" s="39">
        <f t="shared" si="64"/>
        <v>189.25569574635037</v>
      </c>
      <c r="AL45" s="571">
        <f t="shared" si="65"/>
        <v>297.48620450250786</v>
      </c>
      <c r="AM45" s="39">
        <f t="shared" si="65"/>
        <v>71.880016818458017</v>
      </c>
      <c r="AN45" s="39">
        <f>+(AN40-AI40)*10000</f>
        <v>195.78064149895047</v>
      </c>
      <c r="AO45" s="39">
        <f t="shared" si="66"/>
        <v>-27.559885556794896</v>
      </c>
      <c r="AP45" s="39">
        <f t="shared" si="66"/>
        <v>325.3076121191595</v>
      </c>
      <c r="AQ45" s="571">
        <f t="shared" si="66"/>
        <v>138.54085800727444</v>
      </c>
      <c r="AR45" s="39">
        <f t="shared" si="67"/>
        <v>473.58424681441693</v>
      </c>
      <c r="AS45" s="39">
        <f t="shared" si="67"/>
        <v>419.46401958468158</v>
      </c>
      <c r="AT45" s="39">
        <f t="shared" si="67"/>
        <v>292.51511586301626</v>
      </c>
      <c r="AU45" s="39">
        <f>+(AU40-AP40)*10000</f>
        <v>1.1508885561806181</v>
      </c>
      <c r="AV45" s="571">
        <f>+(AV40-AQ40)*10000</f>
        <v>318.09644571031913</v>
      </c>
      <c r="AW45" s="67">
        <v>20</v>
      </c>
      <c r="AX45" s="67">
        <v>40</v>
      </c>
      <c r="AY45" s="67">
        <v>95</v>
      </c>
      <c r="AZ45" s="67">
        <v>105</v>
      </c>
      <c r="BA45" s="571">
        <f>+(BA40-AV40)*10000</f>
        <v>59.975050519554543</v>
      </c>
      <c r="BB45" s="67">
        <v>95</v>
      </c>
      <c r="BC45" s="67">
        <v>95</v>
      </c>
      <c r="BD45" s="67">
        <v>95</v>
      </c>
      <c r="BE45" s="67">
        <v>95</v>
      </c>
      <c r="BF45" s="571">
        <f>+(BF40-BA40)*10000</f>
        <v>95.000000000000639</v>
      </c>
      <c r="BG45" s="516">
        <v>50</v>
      </c>
      <c r="BH45" s="516">
        <f>BG45</f>
        <v>50</v>
      </c>
      <c r="BI45" s="516">
        <f>BH45</f>
        <v>50</v>
      </c>
      <c r="BJ45" s="516">
        <f>BI45</f>
        <v>50</v>
      </c>
      <c r="BK45" s="571">
        <f>+(BK40-BF40)*10000</f>
        <v>50.000000000000043</v>
      </c>
      <c r="BL45" s="67">
        <v>50</v>
      </c>
      <c r="BM45" s="67">
        <f>BL45</f>
        <v>50</v>
      </c>
      <c r="BN45" s="67">
        <f>BM45</f>
        <v>50</v>
      </c>
      <c r="BO45" s="67">
        <f>BN45</f>
        <v>50</v>
      </c>
      <c r="BP45" s="571">
        <f>+(BP40-BK40)*10000</f>
        <v>50.000000000000043</v>
      </c>
      <c r="BQ45" s="67">
        <v>35</v>
      </c>
      <c r="BR45" s="67">
        <f>BQ45</f>
        <v>35</v>
      </c>
      <c r="BS45" s="67">
        <f>BR45</f>
        <v>35</v>
      </c>
      <c r="BT45" s="67">
        <f>BS45</f>
        <v>35</v>
      </c>
      <c r="BU45" s="571">
        <f>+(BU40-BP40)*10000</f>
        <v>34.999999999999474</v>
      </c>
      <c r="BV45" s="489"/>
      <c r="BW45" s="687"/>
      <c r="BX45" s="692"/>
      <c r="BY45" s="693"/>
      <c r="BZ45" s="694"/>
      <c r="CA45" s="667"/>
      <c r="CC45" s="695"/>
      <c r="CD45" s="695"/>
      <c r="CE45" s="667"/>
      <c r="CF45" s="642"/>
      <c r="CG45" s="671"/>
      <c r="CH45" s="671"/>
      <c r="CI45" s="671"/>
      <c r="CJ45" s="671"/>
      <c r="CK45" s="671"/>
      <c r="CL45" s="671"/>
      <c r="CM45" s="671"/>
      <c r="CN45" s="489"/>
    </row>
    <row r="46" spans="1:94" s="309" customFormat="1" x14ac:dyDescent="0.2">
      <c r="A46" s="332" t="str">
        <f>+A41</f>
        <v>Wine &amp; Spirits</v>
      </c>
      <c r="B46" s="10"/>
      <c r="C46" s="2"/>
      <c r="D46" s="65"/>
      <c r="E46" s="65"/>
      <c r="F46" s="65"/>
      <c r="G46" s="65"/>
      <c r="H46" s="459"/>
      <c r="I46" s="65"/>
      <c r="J46" s="65"/>
      <c r="K46" s="65"/>
      <c r="L46" s="65"/>
      <c r="M46" s="459">
        <f>+(M41-H41)*10000</f>
        <v>-152.99991625307374</v>
      </c>
      <c r="N46" s="485"/>
      <c r="O46" s="485"/>
      <c r="P46" s="485"/>
      <c r="Q46" s="485"/>
      <c r="R46" s="459">
        <f t="shared" ref="R46:AC46" si="69">+(R41-M41)*10000</f>
        <v>-124.45551559948865</v>
      </c>
      <c r="S46" s="486">
        <f t="shared" si="69"/>
        <v>-55.017198112596311</v>
      </c>
      <c r="T46" s="486">
        <f t="shared" si="69"/>
        <v>-114.70101826428963</v>
      </c>
      <c r="U46" s="486">
        <f t="shared" si="69"/>
        <v>106.1483456282561</v>
      </c>
      <c r="V46" s="486">
        <f t="shared" si="69"/>
        <v>-32.31953416786282</v>
      </c>
      <c r="W46" s="459">
        <f t="shared" si="69"/>
        <v>-17.608837228129669</v>
      </c>
      <c r="X46" s="39">
        <f t="shared" si="69"/>
        <v>-200.28618327295135</v>
      </c>
      <c r="Y46" s="39">
        <f t="shared" si="69"/>
        <v>-88.28715766209416</v>
      </c>
      <c r="Z46" s="39">
        <f t="shared" si="69"/>
        <v>-181.55494710441283</v>
      </c>
      <c r="AA46" s="39">
        <f t="shared" si="69"/>
        <v>101.99941948500269</v>
      </c>
      <c r="AB46" s="459">
        <f t="shared" si="69"/>
        <v>-83.947938857605038</v>
      </c>
      <c r="AC46" s="39">
        <f t="shared" si="69"/>
        <v>280.43812032874814</v>
      </c>
      <c r="AD46" s="39">
        <f>+(AD41-Y41)*10000</f>
        <v>149.82704385497564</v>
      </c>
      <c r="AE46" s="39">
        <f t="shared" si="63"/>
        <v>197.51730321669407</v>
      </c>
      <c r="AF46" s="39">
        <f t="shared" si="63"/>
        <v>-52.624891441294672</v>
      </c>
      <c r="AG46" s="572">
        <f>+(AG41-AB41)*10000</f>
        <v>133.01146243634238</v>
      </c>
      <c r="AH46" s="39">
        <f t="shared" si="63"/>
        <v>-8.5081293904926127</v>
      </c>
      <c r="AI46" s="39">
        <f t="shared" si="64"/>
        <v>93.156563275658414</v>
      </c>
      <c r="AJ46" s="39">
        <f t="shared" si="64"/>
        <v>173.8748253374267</v>
      </c>
      <c r="AK46" s="39">
        <f t="shared" si="64"/>
        <v>158.70999960240579</v>
      </c>
      <c r="AL46" s="572">
        <f t="shared" si="65"/>
        <v>110.34517930757021</v>
      </c>
      <c r="AM46" s="39">
        <f t="shared" si="65"/>
        <v>163.95173240184801</v>
      </c>
      <c r="AN46" s="39">
        <f t="shared" si="65"/>
        <v>111.5045595261227</v>
      </c>
      <c r="AO46" s="39">
        <f t="shared" si="65"/>
        <v>-21.28159456240175</v>
      </c>
      <c r="AP46" s="39">
        <f>+(AP41-AK41)*10000</f>
        <v>162.86571309229504</v>
      </c>
      <c r="AQ46" s="572">
        <f>+(AQ41-AL41)*10000</f>
        <v>96.603364872373248</v>
      </c>
      <c r="AR46" s="39">
        <f t="shared" si="67"/>
        <v>635.21137314249074</v>
      </c>
      <c r="AS46" s="39">
        <f t="shared" si="67"/>
        <v>47.864237719627553</v>
      </c>
      <c r="AT46" s="39">
        <f t="shared" si="67"/>
        <v>-108.94836303328437</v>
      </c>
      <c r="AU46" s="39">
        <f>+(AU41-AP41)*10000</f>
        <v>83.384747745216544</v>
      </c>
      <c r="AV46" s="572">
        <f>+(AV41-AQ41)*10000</f>
        <v>154.63895416427232</v>
      </c>
      <c r="AW46" s="364">
        <v>-280</v>
      </c>
      <c r="AX46" s="364">
        <v>105</v>
      </c>
      <c r="AY46" s="364">
        <v>175</v>
      </c>
      <c r="AZ46" s="364">
        <v>50</v>
      </c>
      <c r="BA46" s="572">
        <f>+(BA41-AV41)*10000</f>
        <v>18.385953022727051</v>
      </c>
      <c r="BB46" s="364">
        <v>35</v>
      </c>
      <c r="BC46" s="364">
        <v>35</v>
      </c>
      <c r="BD46" s="364">
        <v>35</v>
      </c>
      <c r="BE46" s="364">
        <v>35</v>
      </c>
      <c r="BF46" s="572">
        <f>+(BF41-BA41)*10000</f>
        <v>34.999999999999474</v>
      </c>
      <c r="BG46" s="364">
        <v>15</v>
      </c>
      <c r="BH46" s="364">
        <v>15</v>
      </c>
      <c r="BI46" s="364">
        <v>15</v>
      </c>
      <c r="BJ46" s="364">
        <v>15</v>
      </c>
      <c r="BK46" s="572">
        <f>+(BK41-BF41)*10000</f>
        <v>15.000000000001123</v>
      </c>
      <c r="BL46" s="364">
        <v>12.5</v>
      </c>
      <c r="BM46" s="364">
        <v>12.5</v>
      </c>
      <c r="BN46" s="364">
        <v>12.5</v>
      </c>
      <c r="BO46" s="364">
        <v>12.5</v>
      </c>
      <c r="BP46" s="572">
        <f>+(BP41-BK41)*10000</f>
        <v>12.499999999999734</v>
      </c>
      <c r="BQ46" s="364">
        <v>12.5</v>
      </c>
      <c r="BR46" s="364">
        <v>12.5</v>
      </c>
      <c r="BS46" s="364">
        <v>12.5</v>
      </c>
      <c r="BT46" s="364">
        <v>12.5</v>
      </c>
      <c r="BU46" s="572">
        <f>+(BU41-BP41)*10000</f>
        <v>12.499999999999734</v>
      </c>
      <c r="BV46" s="671"/>
      <c r="BW46" s="696"/>
      <c r="BX46" s="692"/>
      <c r="BY46" s="695"/>
      <c r="BZ46" s="667"/>
      <c r="CA46" s="667"/>
      <c r="CC46" s="695"/>
      <c r="CD46" s="695"/>
      <c r="CE46" s="667"/>
      <c r="CF46" s="642"/>
      <c r="CG46" s="671"/>
      <c r="CH46" s="671"/>
      <c r="CI46" s="671"/>
      <c r="CJ46" s="671"/>
      <c r="CK46" s="671"/>
      <c r="CL46" s="671"/>
      <c r="CM46" s="671"/>
      <c r="CN46" s="489"/>
    </row>
    <row r="47" spans="1:94" s="309" customFormat="1" x14ac:dyDescent="0.2">
      <c r="A47" s="334"/>
      <c r="B47" s="10"/>
      <c r="C47" s="2"/>
      <c r="D47" s="65"/>
      <c r="E47" s="65"/>
      <c r="F47" s="65"/>
      <c r="G47" s="65"/>
      <c r="H47" s="458"/>
      <c r="I47" s="65"/>
      <c r="J47" s="65"/>
      <c r="K47" s="65"/>
      <c r="L47" s="65"/>
      <c r="M47" s="458"/>
      <c r="N47" s="485"/>
      <c r="O47" s="485"/>
      <c r="P47" s="485"/>
      <c r="Q47" s="485"/>
      <c r="R47" s="458"/>
      <c r="S47" s="66"/>
      <c r="T47" s="66"/>
      <c r="U47" s="66"/>
      <c r="V47" s="66"/>
      <c r="W47" s="458"/>
      <c r="X47" s="66"/>
      <c r="Y47" s="66"/>
      <c r="Z47" s="66"/>
      <c r="AA47" s="66"/>
      <c r="AB47" s="458"/>
      <c r="AC47" s="66"/>
      <c r="AD47" s="67"/>
      <c r="AE47" s="67"/>
      <c r="AF47" s="67"/>
      <c r="AG47" s="526"/>
      <c r="AH47" s="67"/>
      <c r="AI47" s="67"/>
      <c r="AJ47" s="67"/>
      <c r="AK47" s="67"/>
      <c r="AL47" s="526"/>
      <c r="AM47" s="67"/>
      <c r="AN47" s="67"/>
      <c r="AO47" s="67"/>
      <c r="AP47" s="67"/>
      <c r="AQ47" s="526">
        <f>'Financial Statements'!BU60</f>
        <v>6.7648543108981443</v>
      </c>
      <c r="AR47" s="67"/>
      <c r="AS47" s="67"/>
      <c r="AT47" s="67"/>
      <c r="AU47" s="67"/>
      <c r="AV47" s="526"/>
      <c r="AW47" s="67"/>
      <c r="AX47" s="67"/>
      <c r="AY47" s="67"/>
      <c r="AZ47" s="67"/>
      <c r="BA47" s="526"/>
      <c r="BB47" s="67"/>
      <c r="BC47" s="67"/>
      <c r="BD47" s="67"/>
      <c r="BE47" s="67"/>
      <c r="BF47" s="526"/>
      <c r="BG47" s="67"/>
      <c r="BH47" s="67"/>
      <c r="BI47" s="67"/>
      <c r="BJ47" s="67"/>
      <c r="BK47" s="526"/>
      <c r="BL47" s="67"/>
      <c r="BM47" s="67"/>
      <c r="BN47" s="67"/>
      <c r="BO47" s="67"/>
      <c r="BP47" s="526"/>
      <c r="BQ47" s="67"/>
      <c r="BR47" s="67"/>
      <c r="BS47" s="67"/>
      <c r="BT47" s="67"/>
      <c r="BU47" s="526"/>
      <c r="BV47" s="671"/>
      <c r="BW47" s="697"/>
      <c r="BX47" s="482"/>
      <c r="BY47" s="489"/>
      <c r="BZ47" s="653"/>
      <c r="CA47" s="653"/>
      <c r="CC47" s="489"/>
      <c r="CD47" s="489"/>
      <c r="CE47" s="653"/>
      <c r="CF47" s="642"/>
      <c r="CG47" s="671"/>
      <c r="CH47" s="671"/>
      <c r="CI47" s="671"/>
      <c r="CJ47" s="671"/>
      <c r="CK47" s="671"/>
      <c r="CL47" s="671"/>
      <c r="CM47" s="671"/>
      <c r="CN47" s="489"/>
    </row>
    <row r="48" spans="1:94" x14ac:dyDescent="0.2">
      <c r="A48" s="429" t="s">
        <v>29</v>
      </c>
      <c r="B48" s="429"/>
      <c r="C48" s="429"/>
      <c r="D48" s="82">
        <f t="shared" ref="D48:AI48" si="70">+D27</f>
        <v>39961</v>
      </c>
      <c r="E48" s="82">
        <f t="shared" si="70"/>
        <v>40051</v>
      </c>
      <c r="F48" s="82">
        <f t="shared" si="70"/>
        <v>40141</v>
      </c>
      <c r="G48" s="82">
        <f t="shared" si="70"/>
        <v>40219</v>
      </c>
      <c r="H48" s="498" t="str">
        <f t="shared" si="70"/>
        <v>FY2010</v>
      </c>
      <c r="I48" s="82">
        <f t="shared" si="70"/>
        <v>40309</v>
      </c>
      <c r="J48" s="82">
        <f t="shared" si="70"/>
        <v>40399</v>
      </c>
      <c r="K48" s="82">
        <f t="shared" si="70"/>
        <v>40489</v>
      </c>
      <c r="L48" s="82">
        <f t="shared" si="70"/>
        <v>40585</v>
      </c>
      <c r="M48" s="498" t="str">
        <f t="shared" si="70"/>
        <v>FY2011</v>
      </c>
      <c r="N48" s="497">
        <f t="shared" si="70"/>
        <v>40674</v>
      </c>
      <c r="O48" s="497">
        <f t="shared" si="70"/>
        <v>40766</v>
      </c>
      <c r="P48" s="497">
        <f t="shared" si="70"/>
        <v>40858</v>
      </c>
      <c r="Q48" s="497">
        <f t="shared" si="70"/>
        <v>40951</v>
      </c>
      <c r="R48" s="498" t="str">
        <f t="shared" si="70"/>
        <v>FY2012</v>
      </c>
      <c r="S48" s="82">
        <f t="shared" si="70"/>
        <v>41041</v>
      </c>
      <c r="T48" s="82">
        <f t="shared" si="70"/>
        <v>41133</v>
      </c>
      <c r="U48" s="82">
        <f t="shared" si="70"/>
        <v>41225</v>
      </c>
      <c r="V48" s="82">
        <f t="shared" si="70"/>
        <v>41318</v>
      </c>
      <c r="W48" s="498" t="str">
        <f t="shared" si="70"/>
        <v>FY2013</v>
      </c>
      <c r="X48" s="82">
        <f t="shared" si="70"/>
        <v>41407</v>
      </c>
      <c r="Y48" s="82">
        <f t="shared" si="70"/>
        <v>41499</v>
      </c>
      <c r="Z48" s="82">
        <f t="shared" si="70"/>
        <v>41591</v>
      </c>
      <c r="AA48" s="82">
        <f t="shared" si="70"/>
        <v>41684</v>
      </c>
      <c r="AB48" s="498" t="str">
        <f t="shared" si="70"/>
        <v>FY2014</v>
      </c>
      <c r="AC48" s="82">
        <f t="shared" si="70"/>
        <v>41773</v>
      </c>
      <c r="AD48" s="82">
        <f t="shared" si="70"/>
        <v>41865</v>
      </c>
      <c r="AE48" s="82">
        <f t="shared" si="70"/>
        <v>41957</v>
      </c>
      <c r="AF48" s="82">
        <f t="shared" si="70"/>
        <v>42050</v>
      </c>
      <c r="AG48" s="498" t="str">
        <f t="shared" si="70"/>
        <v>FY2015</v>
      </c>
      <c r="AH48" s="82">
        <f t="shared" si="70"/>
        <v>42139</v>
      </c>
      <c r="AI48" s="82">
        <f t="shared" si="70"/>
        <v>42231</v>
      </c>
      <c r="AJ48" s="82">
        <f t="shared" ref="AJ48:BD48" si="71">+AJ27</f>
        <v>42323</v>
      </c>
      <c r="AK48" s="82">
        <f t="shared" si="71"/>
        <v>42416</v>
      </c>
      <c r="AL48" s="498" t="str">
        <f t="shared" si="71"/>
        <v>FY2016</v>
      </c>
      <c r="AM48" s="82">
        <f t="shared" si="71"/>
        <v>42506</v>
      </c>
      <c r="AN48" s="82">
        <f t="shared" si="71"/>
        <v>42598</v>
      </c>
      <c r="AO48" s="82">
        <f t="shared" si="71"/>
        <v>42690</v>
      </c>
      <c r="AP48" s="82">
        <f t="shared" si="71"/>
        <v>42783</v>
      </c>
      <c r="AQ48" s="498" t="str">
        <f t="shared" si="71"/>
        <v>FY2017</v>
      </c>
      <c r="AR48" s="82">
        <f t="shared" si="71"/>
        <v>42872</v>
      </c>
      <c r="AS48" s="82">
        <f t="shared" si="71"/>
        <v>42964</v>
      </c>
      <c r="AT48" s="82">
        <f t="shared" si="71"/>
        <v>43056</v>
      </c>
      <c r="AU48" s="82">
        <f t="shared" si="71"/>
        <v>43149</v>
      </c>
      <c r="AV48" s="498" t="str">
        <f t="shared" si="71"/>
        <v>FY2018E</v>
      </c>
      <c r="AW48" s="82" t="str">
        <f t="shared" si="71"/>
        <v>May-18 E</v>
      </c>
      <c r="AX48" s="82" t="str">
        <f t="shared" si="71"/>
        <v>Aug-18 E</v>
      </c>
      <c r="AY48" s="82" t="str">
        <f t="shared" si="71"/>
        <v>Nov-18 E</v>
      </c>
      <c r="AZ48" s="82" t="str">
        <f t="shared" si="71"/>
        <v>Feb-19 E</v>
      </c>
      <c r="BA48" s="498" t="str">
        <f t="shared" si="71"/>
        <v>FY2019E</v>
      </c>
      <c r="BB48" s="82" t="str">
        <f t="shared" si="71"/>
        <v>May-19 E</v>
      </c>
      <c r="BC48" s="82" t="str">
        <f t="shared" si="71"/>
        <v>Aug-19 E</v>
      </c>
      <c r="BD48" s="82" t="str">
        <f t="shared" si="71"/>
        <v>Nov-19 E</v>
      </c>
      <c r="BE48" s="82" t="str">
        <f t="shared" ref="BE48:BU48" si="72">+BE27</f>
        <v>Feb-20 E</v>
      </c>
      <c r="BF48" s="498" t="str">
        <f t="shared" si="72"/>
        <v>FY2020E</v>
      </c>
      <c r="BG48" s="82" t="str">
        <f t="shared" si="72"/>
        <v>May-20 E</v>
      </c>
      <c r="BH48" s="82" t="str">
        <f t="shared" si="72"/>
        <v>Aug-20 E</v>
      </c>
      <c r="BI48" s="82" t="str">
        <f t="shared" si="72"/>
        <v>Nov-20 E</v>
      </c>
      <c r="BJ48" s="82" t="str">
        <f t="shared" si="72"/>
        <v>Feb-21 E</v>
      </c>
      <c r="BK48" s="498" t="str">
        <f t="shared" si="72"/>
        <v>FY2021E</v>
      </c>
      <c r="BL48" s="82" t="str">
        <f t="shared" si="72"/>
        <v>May-21 E</v>
      </c>
      <c r="BM48" s="82" t="str">
        <f t="shared" si="72"/>
        <v>Aug-21 E</v>
      </c>
      <c r="BN48" s="82" t="str">
        <f t="shared" si="72"/>
        <v>Nov-21 E</v>
      </c>
      <c r="BO48" s="82" t="str">
        <f t="shared" si="72"/>
        <v>Feb-22 E</v>
      </c>
      <c r="BP48" s="498" t="str">
        <f t="shared" si="72"/>
        <v>FY2022E</v>
      </c>
      <c r="BQ48" s="82" t="str">
        <f t="shared" si="72"/>
        <v>May-22 E</v>
      </c>
      <c r="BR48" s="82" t="str">
        <f t="shared" si="72"/>
        <v>Aug-22 E</v>
      </c>
      <c r="BS48" s="82" t="str">
        <f t="shared" si="72"/>
        <v>Nov-22 E</v>
      </c>
      <c r="BT48" s="82" t="str">
        <f t="shared" si="72"/>
        <v>Feb-23 E</v>
      </c>
      <c r="BU48" s="498" t="str">
        <f t="shared" si="72"/>
        <v>FY2023E</v>
      </c>
      <c r="BV48" s="671"/>
      <c r="BW48" s="698"/>
      <c r="BX48" s="698"/>
      <c r="BZ48" s="699"/>
      <c r="CF48" s="642"/>
    </row>
    <row r="49" spans="1:92" x14ac:dyDescent="0.2">
      <c r="A49" s="1" t="s">
        <v>268</v>
      </c>
      <c r="B49" s="2"/>
      <c r="C49" s="2"/>
      <c r="D49" s="61"/>
      <c r="E49" s="61"/>
      <c r="F49" s="61"/>
      <c r="G49" s="60"/>
      <c r="H49" s="499"/>
      <c r="I49" s="61"/>
      <c r="J49" s="61"/>
      <c r="K49" s="61"/>
      <c r="L49" s="60"/>
      <c r="M49" s="499"/>
      <c r="N49" s="61"/>
      <c r="O49" s="61"/>
      <c r="P49" s="61"/>
      <c r="Q49" s="60"/>
      <c r="R49" s="499"/>
      <c r="S49" s="61"/>
      <c r="T49" s="61"/>
      <c r="U49" s="61"/>
      <c r="V49" s="60"/>
      <c r="W49" s="442"/>
      <c r="X49" s="61"/>
      <c r="Y49" s="61"/>
      <c r="Z49" s="61"/>
      <c r="AA49" s="60"/>
      <c r="AB49" s="442"/>
      <c r="AC49" s="61"/>
      <c r="AD49" s="61"/>
      <c r="AE49" s="61"/>
      <c r="AF49" s="60"/>
      <c r="AG49" s="499"/>
      <c r="AH49" s="61"/>
      <c r="AI49" s="61"/>
      <c r="AJ49" s="61"/>
      <c r="AK49" s="60"/>
      <c r="AL49" s="499"/>
      <c r="AM49" s="2"/>
      <c r="AN49" s="2"/>
      <c r="AO49" s="2"/>
      <c r="AP49" s="60"/>
      <c r="AQ49" s="499"/>
      <c r="AR49" s="61"/>
      <c r="AS49" s="61"/>
      <c r="AT49" s="61"/>
      <c r="AU49" s="61"/>
      <c r="AV49" s="499"/>
      <c r="AW49" s="2"/>
      <c r="AX49" s="2"/>
      <c r="AY49" s="2"/>
      <c r="AZ49" s="2"/>
      <c r="BA49" s="499"/>
      <c r="BB49" s="2"/>
      <c r="BC49" s="61"/>
      <c r="BD49" s="61"/>
      <c r="BE49" s="60"/>
      <c r="BF49" s="499"/>
      <c r="BG49" s="61"/>
      <c r="BH49" s="61"/>
      <c r="BI49" s="61"/>
      <c r="BJ49" s="60"/>
      <c r="BK49" s="499"/>
      <c r="BL49" s="61"/>
      <c r="BM49" s="61"/>
      <c r="BN49" s="61"/>
      <c r="BO49" s="60"/>
      <c r="BP49" s="499"/>
      <c r="BQ49" s="61"/>
      <c r="BR49" s="61"/>
      <c r="BS49" s="61"/>
      <c r="BT49" s="60"/>
      <c r="BU49" s="499"/>
      <c r="BX49" s="700"/>
      <c r="BZ49" s="699"/>
      <c r="CF49" s="642"/>
    </row>
    <row r="50" spans="1:92" x14ac:dyDescent="0.2">
      <c r="A50" s="2" t="s">
        <v>250</v>
      </c>
      <c r="B50" s="2"/>
      <c r="C50" s="2"/>
      <c r="D50" s="61"/>
      <c r="E50" s="61"/>
      <c r="F50" s="61"/>
      <c r="G50" s="60"/>
      <c r="H50" s="499"/>
      <c r="I50" s="61"/>
      <c r="J50" s="61"/>
      <c r="K50" s="61"/>
      <c r="L50" s="60"/>
      <c r="M50" s="499"/>
      <c r="N50" s="61"/>
      <c r="O50" s="61"/>
      <c r="P50" s="61"/>
      <c r="Q50" s="60"/>
      <c r="R50" s="499"/>
      <c r="S50" s="61"/>
      <c r="T50" s="61"/>
      <c r="U50" s="61"/>
      <c r="V50" s="60"/>
      <c r="W50" s="442"/>
      <c r="X50" s="61"/>
      <c r="Y50" s="61"/>
      <c r="Z50" s="61"/>
      <c r="AA50" s="60"/>
      <c r="AB50" s="442"/>
      <c r="AC50" s="61"/>
      <c r="AD50" s="61"/>
      <c r="AE50" s="61"/>
      <c r="AF50" s="60"/>
      <c r="AG50" s="611"/>
      <c r="AH50" s="61"/>
      <c r="AI50" s="61"/>
      <c r="AJ50" s="590"/>
      <c r="AK50" s="60"/>
      <c r="AL50" s="611"/>
      <c r="AM50" s="2"/>
      <c r="AN50" s="2"/>
      <c r="AO50" s="2"/>
      <c r="AP50" s="60"/>
      <c r="AQ50" s="611"/>
      <c r="AR50" s="68"/>
      <c r="AS50" s="68"/>
      <c r="AT50" s="68"/>
      <c r="AU50" s="68"/>
      <c r="AV50" s="611"/>
      <c r="AW50" s="2"/>
      <c r="AX50" s="2"/>
      <c r="AY50" s="2"/>
      <c r="AZ50" s="2"/>
      <c r="BA50" s="611"/>
      <c r="BB50" s="2"/>
      <c r="BC50" s="61"/>
      <c r="BD50" s="61"/>
      <c r="BE50" s="60"/>
      <c r="BF50" s="611"/>
      <c r="BG50" s="61"/>
      <c r="BH50" s="61"/>
      <c r="BI50" s="61"/>
      <c r="BJ50" s="60"/>
      <c r="BK50" s="611"/>
      <c r="BL50" s="61"/>
      <c r="BM50" s="61"/>
      <c r="BN50" s="61"/>
      <c r="BO50" s="60"/>
      <c r="BP50" s="611"/>
      <c r="BQ50" s="61"/>
      <c r="BR50" s="61"/>
      <c r="BS50" s="61"/>
      <c r="BT50" s="60"/>
      <c r="BU50" s="611"/>
      <c r="BV50" s="701"/>
      <c r="BX50" s="701"/>
      <c r="CF50" s="642"/>
      <c r="CG50" s="702"/>
      <c r="CH50" s="698"/>
      <c r="CI50" s="698"/>
    </row>
    <row r="51" spans="1:92" x14ac:dyDescent="0.2">
      <c r="A51" s="2" t="s">
        <v>251</v>
      </c>
      <c r="B51" s="2"/>
      <c r="C51" s="2"/>
      <c r="D51" s="61"/>
      <c r="E51" s="61"/>
      <c r="F51" s="61"/>
      <c r="G51" s="60"/>
      <c r="H51" s="499"/>
      <c r="I51" s="61"/>
      <c r="J51" s="61"/>
      <c r="K51" s="61"/>
      <c r="L51" s="60"/>
      <c r="M51" s="499"/>
      <c r="N51" s="61"/>
      <c r="O51" s="61"/>
      <c r="P51" s="61"/>
      <c r="Q51" s="60"/>
      <c r="R51" s="499"/>
      <c r="S51" s="61"/>
      <c r="T51" s="61"/>
      <c r="U51" s="61"/>
      <c r="V51" s="60"/>
      <c r="W51" s="442"/>
      <c r="X51" s="52"/>
      <c r="Y51" s="52">
        <v>4.4999999999999998E-2</v>
      </c>
      <c r="Z51" s="52">
        <v>0.06</v>
      </c>
      <c r="AA51" s="52"/>
      <c r="AB51" s="442">
        <v>0.04</v>
      </c>
      <c r="AC51" s="52">
        <v>0.03</v>
      </c>
      <c r="AD51" s="52"/>
      <c r="AE51" s="52" t="s">
        <v>283</v>
      </c>
      <c r="AF51" s="52"/>
      <c r="AG51" s="513"/>
      <c r="AH51" s="61"/>
      <c r="AI51" s="427"/>
      <c r="AJ51" s="427"/>
      <c r="AK51" s="52"/>
      <c r="AL51" s="513"/>
      <c r="AM51" s="592"/>
      <c r="AN51" s="554"/>
      <c r="AO51" s="61"/>
      <c r="AP51" s="60"/>
      <c r="AQ51" s="513"/>
      <c r="AR51" s="68"/>
      <c r="AS51" s="68"/>
      <c r="AT51" s="68"/>
      <c r="AU51" s="68"/>
      <c r="AV51" s="513"/>
      <c r="AW51" s="2"/>
      <c r="AX51" s="49"/>
      <c r="AY51" s="2"/>
      <c r="AZ51" s="2"/>
      <c r="BA51" s="513"/>
      <c r="BB51" s="2"/>
      <c r="BC51" s="61"/>
      <c r="BD51" s="61"/>
      <c r="BE51" s="60"/>
      <c r="BF51" s="513"/>
      <c r="BG51" s="61"/>
      <c r="BH51" s="606"/>
      <c r="BI51" s="61"/>
      <c r="BJ51" s="60"/>
      <c r="BK51" s="513"/>
      <c r="BL51" s="61"/>
      <c r="BM51" s="61"/>
      <c r="BN51" s="61"/>
      <c r="BO51" s="60"/>
      <c r="BP51" s="513"/>
      <c r="BQ51" s="61"/>
      <c r="BR51" s="61"/>
      <c r="BS51" s="61"/>
      <c r="BT51" s="60"/>
      <c r="BU51" s="513"/>
      <c r="BV51" s="701"/>
      <c r="BX51" s="703"/>
      <c r="BY51" s="703"/>
      <c r="CF51" s="642"/>
      <c r="CG51" s="701"/>
      <c r="CH51" s="701"/>
      <c r="CI51" s="701"/>
    </row>
    <row r="52" spans="1:92" x14ac:dyDescent="0.2">
      <c r="A52" s="2" t="s">
        <v>252</v>
      </c>
      <c r="B52" s="2"/>
      <c r="C52" s="2"/>
      <c r="D52" s="61"/>
      <c r="E52" s="61"/>
      <c r="F52" s="61"/>
      <c r="G52" s="60"/>
      <c r="H52" s="499"/>
      <c r="I52" s="61"/>
      <c r="J52" s="61"/>
      <c r="K52" s="61"/>
      <c r="L52" s="60"/>
      <c r="M52" s="499"/>
      <c r="N52" s="61"/>
      <c r="O52" s="61"/>
      <c r="P52" s="61"/>
      <c r="Q52" s="60"/>
      <c r="R52" s="499"/>
      <c r="S52" s="61"/>
      <c r="T52" s="61"/>
      <c r="U52" s="61"/>
      <c r="V52" s="60"/>
      <c r="W52" s="442"/>
      <c r="X52" s="52"/>
      <c r="Y52" s="52">
        <v>4.4999999999999998E-2</v>
      </c>
      <c r="Z52" s="52"/>
      <c r="AA52" s="52"/>
      <c r="AB52" s="442"/>
      <c r="AC52" s="52"/>
      <c r="AD52" s="68"/>
      <c r="AE52" s="68"/>
      <c r="AF52" s="68"/>
      <c r="AG52" s="513"/>
      <c r="AH52" s="68"/>
      <c r="AI52" s="68"/>
      <c r="AJ52" s="68"/>
      <c r="AK52" s="68"/>
      <c r="AL52" s="513"/>
      <c r="AM52" s="592"/>
      <c r="AN52" s="68"/>
      <c r="AO52" s="68"/>
      <c r="AP52" s="60"/>
      <c r="AQ52" s="513"/>
      <c r="AR52" s="68"/>
      <c r="AS52" s="61"/>
      <c r="AT52" s="61"/>
      <c r="AU52" s="68"/>
      <c r="AV52" s="513"/>
      <c r="AW52" s="371"/>
      <c r="AX52" s="2"/>
      <c r="AY52" s="36"/>
      <c r="AZ52" s="2"/>
      <c r="BA52" s="513"/>
      <c r="BB52" s="2"/>
      <c r="BC52" s="68"/>
      <c r="BD52" s="61"/>
      <c r="BE52" s="60"/>
      <c r="BF52" s="513"/>
      <c r="BG52" s="61"/>
      <c r="BH52" s="61"/>
      <c r="BI52" s="61"/>
      <c r="BJ52" s="60"/>
      <c r="BK52" s="513"/>
      <c r="BL52" s="61"/>
      <c r="BM52" s="61"/>
      <c r="BN52" s="61"/>
      <c r="BO52" s="60"/>
      <c r="BP52" s="513"/>
      <c r="BQ52" s="61"/>
      <c r="BR52" s="61"/>
      <c r="BS52" s="61"/>
      <c r="BT52" s="60"/>
      <c r="BU52" s="513"/>
      <c r="BV52" s="704"/>
      <c r="BW52" s="705"/>
      <c r="CG52" s="703"/>
      <c r="CH52" s="703"/>
      <c r="CI52" s="703"/>
    </row>
    <row r="53" spans="1:92" x14ac:dyDescent="0.2">
      <c r="A53" s="2" t="s">
        <v>253</v>
      </c>
      <c r="B53" s="2"/>
      <c r="C53" s="2"/>
      <c r="D53" s="61"/>
      <c r="E53" s="61"/>
      <c r="F53" s="61"/>
      <c r="G53" s="60"/>
      <c r="H53" s="499"/>
      <c r="I53" s="61"/>
      <c r="J53" s="61"/>
      <c r="K53" s="61"/>
      <c r="L53" s="60"/>
      <c r="M53" s="499"/>
      <c r="N53" s="61"/>
      <c r="O53" s="61"/>
      <c r="P53" s="61"/>
      <c r="Q53" s="60"/>
      <c r="R53" s="499"/>
      <c r="S53" s="61"/>
      <c r="T53" s="61"/>
      <c r="U53" s="61"/>
      <c r="V53" s="60"/>
      <c r="W53" s="442"/>
      <c r="X53" s="52"/>
      <c r="Y53" s="52">
        <v>0.17</v>
      </c>
      <c r="Z53" s="52">
        <v>0.18</v>
      </c>
      <c r="AA53" s="52"/>
      <c r="AB53" s="442">
        <v>0.2</v>
      </c>
      <c r="AC53" s="68"/>
      <c r="AD53" s="68"/>
      <c r="AE53" s="68"/>
      <c r="AF53" s="68"/>
      <c r="AG53" s="513"/>
      <c r="AH53" s="68"/>
      <c r="AI53" s="68"/>
      <c r="AJ53" s="68"/>
      <c r="AK53" s="68"/>
      <c r="AL53" s="513"/>
      <c r="AM53" s="68"/>
      <c r="AN53" s="591"/>
      <c r="AO53" s="589"/>
      <c r="AP53" s="286"/>
      <c r="AQ53" s="513"/>
      <c r="AR53" s="68"/>
      <c r="AS53" s="68"/>
      <c r="AT53" s="68"/>
      <c r="AU53" s="68"/>
      <c r="AV53" s="513"/>
      <c r="AW53" s="61"/>
      <c r="AX53" s="61"/>
      <c r="AY53" s="61"/>
      <c r="AZ53" s="60"/>
      <c r="BA53" s="513"/>
      <c r="BB53" s="2"/>
      <c r="BC53" s="68"/>
      <c r="BD53" s="61"/>
      <c r="BE53" s="60"/>
      <c r="BF53" s="513"/>
      <c r="BG53" s="61"/>
      <c r="BH53" s="61"/>
      <c r="BI53" s="61"/>
      <c r="BJ53" s="60"/>
      <c r="BK53" s="513"/>
      <c r="BL53" s="61"/>
      <c r="BM53" s="61"/>
      <c r="BN53" s="61"/>
      <c r="BO53" s="60"/>
      <c r="BP53" s="513"/>
      <c r="BQ53" s="61"/>
      <c r="BR53" s="61"/>
      <c r="BS53" s="61"/>
      <c r="BT53" s="60"/>
      <c r="BU53" s="513"/>
      <c r="BV53" s="698"/>
      <c r="BX53" s="706"/>
    </row>
    <row r="54" spans="1:92" x14ac:dyDescent="0.2">
      <c r="A54" s="2" t="s">
        <v>254</v>
      </c>
      <c r="B54" s="2"/>
      <c r="C54" s="2"/>
      <c r="D54" s="61"/>
      <c r="E54" s="61"/>
      <c r="F54" s="61"/>
      <c r="G54" s="60"/>
      <c r="H54" s="499"/>
      <c r="I54" s="61"/>
      <c r="J54" s="61"/>
      <c r="K54" s="61"/>
      <c r="L54" s="60"/>
      <c r="M54" s="499"/>
      <c r="N54" s="61"/>
      <c r="O54" s="61"/>
      <c r="P54" s="61"/>
      <c r="Q54" s="60"/>
      <c r="R54" s="499"/>
      <c r="S54" s="61"/>
      <c r="T54" s="61"/>
      <c r="U54" s="61"/>
      <c r="V54" s="60"/>
      <c r="W54" s="442"/>
      <c r="X54" s="61"/>
      <c r="Y54" s="61"/>
      <c r="Z54" s="61"/>
      <c r="AA54" s="61"/>
      <c r="AB54" s="517"/>
      <c r="AC54" s="68"/>
      <c r="AD54" s="68"/>
      <c r="AE54" s="68"/>
      <c r="AF54" s="68"/>
      <c r="AG54" s="513"/>
      <c r="AH54" s="68"/>
      <c r="AI54" s="68"/>
      <c r="AJ54" s="68"/>
      <c r="AK54" s="68"/>
      <c r="AL54" s="513"/>
      <c r="AM54" s="592"/>
      <c r="AN54" s="592"/>
      <c r="AO54" s="589"/>
      <c r="AP54" s="286"/>
      <c r="AQ54" s="513"/>
      <c r="AR54" s="68"/>
      <c r="AS54" s="61"/>
      <c r="AT54" s="61"/>
      <c r="AU54" s="622"/>
      <c r="AV54" s="513"/>
      <c r="AW54" s="61"/>
      <c r="AX54" s="61"/>
      <c r="AY54" s="61"/>
      <c r="AZ54" s="60"/>
      <c r="BA54" s="513"/>
      <c r="BB54" s="61"/>
      <c r="BC54" s="61"/>
      <c r="BD54" s="61"/>
      <c r="BE54" s="60"/>
      <c r="BF54" s="513"/>
      <c r="BG54" s="61"/>
      <c r="BH54" s="61"/>
      <c r="BI54" s="61"/>
      <c r="BJ54" s="60"/>
      <c r="BK54" s="513"/>
      <c r="BL54" s="61"/>
      <c r="BM54" s="61"/>
      <c r="BN54" s="61"/>
      <c r="BO54" s="60"/>
      <c r="BP54" s="513"/>
      <c r="BQ54" s="61"/>
      <c r="BR54" s="61"/>
      <c r="BS54" s="61"/>
      <c r="BT54" s="60"/>
      <c r="BU54" s="513"/>
      <c r="BW54" s="706"/>
      <c r="BZ54" s="706"/>
      <c r="CA54" s="309"/>
      <c r="CB54" s="309"/>
      <c r="CC54" s="309"/>
      <c r="CD54" s="309"/>
      <c r="CF54" s="642"/>
    </row>
    <row r="55" spans="1:92" x14ac:dyDescent="0.2">
      <c r="A55" s="2" t="s">
        <v>267</v>
      </c>
      <c r="B55" s="2"/>
      <c r="C55" s="2"/>
      <c r="D55" s="61"/>
      <c r="E55" s="61"/>
      <c r="F55" s="61"/>
      <c r="G55" s="60"/>
      <c r="H55" s="499"/>
      <c r="I55" s="61"/>
      <c r="J55" s="61"/>
      <c r="K55" s="61"/>
      <c r="L55" s="60"/>
      <c r="M55" s="499"/>
      <c r="N55" s="61"/>
      <c r="O55" s="61"/>
      <c r="P55" s="61"/>
      <c r="Q55" s="60"/>
      <c r="R55" s="499"/>
      <c r="S55" s="61"/>
      <c r="T55" s="61"/>
      <c r="U55" s="61"/>
      <c r="V55" s="60"/>
      <c r="W55" s="442"/>
      <c r="X55" s="52"/>
      <c r="Y55" s="52"/>
      <c r="Z55" s="52">
        <v>0.2</v>
      </c>
      <c r="AA55" s="68"/>
      <c r="AB55" s="442"/>
      <c r="AC55" s="68"/>
      <c r="AD55" s="68"/>
      <c r="AE55" s="68"/>
      <c r="AF55" s="68"/>
      <c r="AG55" s="499"/>
      <c r="AH55" s="68"/>
      <c r="AI55" s="68"/>
      <c r="AJ55" s="68"/>
      <c r="AK55" s="68"/>
      <c r="AL55" s="499"/>
      <c r="AM55" s="68"/>
      <c r="AN55" s="68"/>
      <c r="AO55" s="68"/>
      <c r="AP55" s="68"/>
      <c r="AQ55" s="499"/>
      <c r="AR55" s="68"/>
      <c r="AS55" s="68"/>
      <c r="AT55" s="68"/>
      <c r="AU55" s="68"/>
      <c r="AV55" s="499"/>
      <c r="AW55" s="61"/>
      <c r="AX55" s="61"/>
      <c r="AY55" s="61"/>
      <c r="AZ55" s="60"/>
      <c r="BA55" s="499"/>
      <c r="BB55" s="61"/>
      <c r="BC55" s="61"/>
      <c r="BD55" s="61"/>
      <c r="BE55" s="60"/>
      <c r="BF55" s="499"/>
      <c r="BG55" s="61"/>
      <c r="BH55" s="61"/>
      <c r="BI55" s="61"/>
      <c r="BJ55" s="60"/>
      <c r="BK55" s="499"/>
      <c r="BL55" s="61"/>
      <c r="BM55" s="61"/>
      <c r="BN55" s="61"/>
      <c r="BO55" s="60"/>
      <c r="BP55" s="499"/>
      <c r="BQ55" s="61"/>
      <c r="BR55" s="61"/>
      <c r="BS55" s="61"/>
      <c r="BT55" s="60"/>
      <c r="BU55" s="499"/>
      <c r="BV55" s="707"/>
      <c r="BW55" s="707"/>
      <c r="BZ55" s="703"/>
      <c r="CA55" s="309"/>
      <c r="CB55" s="309"/>
      <c r="CC55" s="309"/>
      <c r="CD55" s="309"/>
      <c r="CF55" s="642"/>
      <c r="CG55" s="701"/>
      <c r="CH55" s="701"/>
      <c r="CI55" s="701"/>
    </row>
    <row r="56" spans="1:92" x14ac:dyDescent="0.2">
      <c r="A56" s="2" t="s">
        <v>255</v>
      </c>
      <c r="B56" s="2"/>
      <c r="C56" s="2"/>
      <c r="D56" s="61"/>
      <c r="E56" s="61"/>
      <c r="F56" s="61"/>
      <c r="G56" s="60"/>
      <c r="H56" s="499"/>
      <c r="I56" s="61"/>
      <c r="J56" s="61"/>
      <c r="K56" s="61"/>
      <c r="L56" s="60"/>
      <c r="M56" s="499"/>
      <c r="N56" s="61"/>
      <c r="O56" s="61"/>
      <c r="P56" s="61"/>
      <c r="Q56" s="60"/>
      <c r="R56" s="499"/>
      <c r="S56" s="61"/>
      <c r="T56" s="61"/>
      <c r="U56" s="61"/>
      <c r="V56" s="60"/>
      <c r="W56" s="442"/>
      <c r="X56" s="52"/>
      <c r="Y56" s="52">
        <v>0.4</v>
      </c>
      <c r="Z56" s="52">
        <v>0.3</v>
      </c>
      <c r="AA56" s="52"/>
      <c r="AB56" s="442">
        <v>0.35</v>
      </c>
      <c r="AC56" s="52">
        <v>0.35</v>
      </c>
      <c r="AD56" s="52">
        <v>0.4</v>
      </c>
      <c r="AE56" s="2"/>
      <c r="AF56" s="2"/>
      <c r="AG56" s="585"/>
      <c r="AH56" s="2"/>
      <c r="AI56" s="2"/>
      <c r="AJ56" s="2"/>
      <c r="AK56" s="2"/>
      <c r="AL56" s="585"/>
      <c r="AM56" s="568"/>
      <c r="AN56" s="68"/>
      <c r="AO56" s="584"/>
      <c r="AP56" s="568"/>
      <c r="AQ56" s="585"/>
      <c r="AR56" s="584"/>
      <c r="AS56" s="584"/>
      <c r="AT56" s="584"/>
      <c r="AU56" s="583"/>
      <c r="AV56" s="585"/>
      <c r="AW56" s="61"/>
      <c r="AX56" s="61"/>
      <c r="AY56" s="61"/>
      <c r="AZ56" s="60"/>
      <c r="BA56" s="585"/>
      <c r="BB56" s="61"/>
      <c r="BC56" s="61"/>
      <c r="BD56" s="61"/>
      <c r="BE56" s="60"/>
      <c r="BF56" s="585"/>
      <c r="BG56" s="61"/>
      <c r="BH56" s="61"/>
      <c r="BI56" s="61"/>
      <c r="BJ56" s="514"/>
      <c r="BK56" s="585"/>
      <c r="BL56" s="61"/>
      <c r="BM56" s="61"/>
      <c r="BN56" s="61"/>
      <c r="BO56" s="514"/>
      <c r="BP56" s="585"/>
      <c r="BQ56" s="61"/>
      <c r="BR56" s="61"/>
      <c r="BS56" s="61"/>
      <c r="BT56" s="514"/>
      <c r="BU56" s="585"/>
      <c r="BV56" s="707"/>
      <c r="BW56" s="707"/>
      <c r="CA56" s="309"/>
      <c r="CB56" s="309"/>
      <c r="CC56" s="309"/>
      <c r="CD56" s="309"/>
    </row>
    <row r="57" spans="1:92" x14ac:dyDescent="0.2">
      <c r="A57" s="304" t="s">
        <v>277</v>
      </c>
      <c r="B57" s="304"/>
      <c r="C57" s="304"/>
      <c r="D57" s="393"/>
      <c r="E57" s="393"/>
      <c r="F57" s="393"/>
      <c r="G57" s="392"/>
      <c r="H57" s="500"/>
      <c r="I57" s="393"/>
      <c r="J57" s="393"/>
      <c r="K57" s="393"/>
      <c r="L57" s="392"/>
      <c r="M57" s="500"/>
      <c r="N57" s="393"/>
      <c r="O57" s="393"/>
      <c r="P57" s="393"/>
      <c r="Q57" s="392"/>
      <c r="R57" s="500"/>
      <c r="S57" s="393"/>
      <c r="T57" s="393"/>
      <c r="U57" s="393"/>
      <c r="V57" s="392"/>
      <c r="W57" s="456">
        <v>3.4000000000000002E-2</v>
      </c>
      <c r="X57" s="394">
        <v>3.1E-2</v>
      </c>
      <c r="Y57" s="394">
        <v>7.0000000000000007E-2</v>
      </c>
      <c r="Z57" s="394">
        <v>0.10100000000000001</v>
      </c>
      <c r="AA57" s="394">
        <v>0.11600000000000001</v>
      </c>
      <c r="AB57" s="456">
        <v>7.5999999999999998E-2</v>
      </c>
      <c r="AC57" s="394">
        <v>0.08</v>
      </c>
      <c r="AD57" s="394">
        <v>0.08</v>
      </c>
      <c r="AE57" s="394">
        <v>0.08</v>
      </c>
      <c r="AF57" s="394">
        <v>9.2999999999999999E-2</v>
      </c>
      <c r="AG57" s="456">
        <v>8.3000000000000004E-2</v>
      </c>
      <c r="AH57" s="394">
        <v>0.104</v>
      </c>
      <c r="AI57" s="394">
        <v>0.10299999999999999</v>
      </c>
      <c r="AJ57" s="394">
        <v>0.16200000000000001</v>
      </c>
      <c r="AK57" s="394">
        <v>0.13700000000000001</v>
      </c>
      <c r="AL57" s="456">
        <v>0.123</v>
      </c>
      <c r="AM57" s="311">
        <v>9.7000000000000003E-2</v>
      </c>
      <c r="AN57" s="311">
        <v>0.13900000000000001</v>
      </c>
      <c r="AO57" s="311">
        <v>0.107</v>
      </c>
      <c r="AP57" s="311">
        <v>6.2E-2</v>
      </c>
      <c r="AQ57" s="456">
        <f>+SUMPRODUCT(AM57:AP57,AH58:AK58)/AL58</f>
        <v>0.10391340396130817</v>
      </c>
      <c r="AR57" s="311">
        <v>0.11600000000000001</v>
      </c>
      <c r="AS57" s="311">
        <v>8.1000000000000003E-2</v>
      </c>
      <c r="AT57" s="311">
        <v>9.0999999999999998E-2</v>
      </c>
      <c r="AU57" s="311">
        <v>0.11</v>
      </c>
      <c r="AV57" s="456">
        <v>9.8000000000000004E-2</v>
      </c>
      <c r="AW57" s="311">
        <v>0.09</v>
      </c>
      <c r="AX57" s="311">
        <v>8.7499999999999994E-2</v>
      </c>
      <c r="AY57" s="311">
        <v>9.2499999999999999E-2</v>
      </c>
      <c r="AZ57" s="311">
        <v>0.09</v>
      </c>
      <c r="BA57" s="456">
        <f>+SUMPRODUCT(AW57:AZ57,AR58:AU58)/AV58</f>
        <v>8.9806902985074627E-2</v>
      </c>
      <c r="BB57" s="311"/>
      <c r="BC57" s="575"/>
      <c r="BD57" s="393"/>
      <c r="BE57" s="392"/>
      <c r="BF57" s="456"/>
      <c r="BG57" s="393"/>
      <c r="BH57" s="393"/>
      <c r="BI57" s="393"/>
      <c r="BJ57" s="392"/>
      <c r="BK57" s="456"/>
      <c r="BL57" s="393"/>
      <c r="BM57" s="393"/>
      <c r="BN57" s="393"/>
      <c r="BO57" s="392"/>
      <c r="BP57" s="456"/>
      <c r="BQ57" s="393"/>
      <c r="BR57" s="393"/>
      <c r="BS57" s="393"/>
      <c r="BT57" s="392"/>
      <c r="BU57" s="456"/>
      <c r="CA57" s="309"/>
      <c r="CB57" s="309"/>
      <c r="CC57" s="309"/>
      <c r="CD57" s="309"/>
    </row>
    <row r="58" spans="1:92" x14ac:dyDescent="0.2">
      <c r="A58" s="4" t="s">
        <v>288</v>
      </c>
      <c r="B58" s="2"/>
      <c r="C58" s="2"/>
      <c r="D58" s="61"/>
      <c r="E58" s="61"/>
      <c r="F58" s="61"/>
      <c r="G58" s="60"/>
      <c r="H58" s="501"/>
      <c r="I58" s="61"/>
      <c r="J58" s="61"/>
      <c r="K58" s="61"/>
      <c r="L58" s="60"/>
      <c r="M58" s="501"/>
      <c r="N58" s="60"/>
      <c r="O58" s="60"/>
      <c r="P58" s="60"/>
      <c r="Q58" s="60"/>
      <c r="R58" s="501"/>
      <c r="S58" s="358">
        <f>+X58/(1+X59)</f>
        <v>46.473429951690825</v>
      </c>
      <c r="T58" s="60">
        <f>+Y58/(1+Y59)</f>
        <v>50.939663699307623</v>
      </c>
      <c r="U58" s="358">
        <f>+Z58/(1+Z59)</f>
        <v>35.158254918733959</v>
      </c>
      <c r="V58" s="358">
        <f>+AA58/(1+AA59)</f>
        <v>33.393994540491356</v>
      </c>
      <c r="W58" s="508">
        <f>+AB58/(1+AB59)</f>
        <v>165.94948550046772</v>
      </c>
      <c r="X58" s="358">
        <v>48.1</v>
      </c>
      <c r="Y58" s="358">
        <v>51.5</v>
      </c>
      <c r="Z58" s="358">
        <v>41.1</v>
      </c>
      <c r="AA58" s="358">
        <v>36.700000000000003</v>
      </c>
      <c r="AB58" s="508">
        <f>+SUM(X58:AA58)</f>
        <v>177.39999999999998</v>
      </c>
      <c r="AC58" s="358">
        <v>53.3</v>
      </c>
      <c r="AD58" s="358">
        <v>55</v>
      </c>
      <c r="AE58" s="60">
        <v>46.9</v>
      </c>
      <c r="AF58" s="60">
        <v>40.6</v>
      </c>
      <c r="AG58" s="594">
        <f>+SUM(AC58:AF58)</f>
        <v>195.79999999999998</v>
      </c>
      <c r="AH58" s="60">
        <v>58.6</v>
      </c>
      <c r="AI58" s="60">
        <v>62.2</v>
      </c>
      <c r="AJ58" s="60">
        <v>50.2</v>
      </c>
      <c r="AK58" s="60">
        <v>46.1</v>
      </c>
      <c r="AL58" s="594">
        <f>+SUM(AH58:AK58)</f>
        <v>217.1</v>
      </c>
      <c r="AM58" s="358">
        <v>65.599999999999994</v>
      </c>
      <c r="AN58" s="358">
        <v>70.3</v>
      </c>
      <c r="AO58" s="60">
        <v>55.3</v>
      </c>
      <c r="AP58" s="60">
        <v>51.1</v>
      </c>
      <c r="AQ58" s="594">
        <f>+SUM(AM58:AP58)</f>
        <v>242.29999999999998</v>
      </c>
      <c r="AR58" s="358">
        <v>71.7</v>
      </c>
      <c r="AS58" s="358">
        <v>80.3</v>
      </c>
      <c r="AT58" s="358">
        <v>59.6</v>
      </c>
      <c r="AU58" s="60">
        <v>56.4</v>
      </c>
      <c r="AV58" s="594">
        <f>+SUM(AR58:AU58)</f>
        <v>268</v>
      </c>
      <c r="AW58" s="60">
        <f>+AR58*(1+AW59)</f>
        <v>79.228499999999997</v>
      </c>
      <c r="AX58" s="60">
        <f>+AS58*(1+AX59)</f>
        <v>86.724000000000004</v>
      </c>
      <c r="AY58" s="60">
        <f>+AT58*(1+AY59)</f>
        <v>66.156000000000006</v>
      </c>
      <c r="AZ58" s="60">
        <f>+AU58*(1+AZ59)</f>
        <v>61.757999999999996</v>
      </c>
      <c r="BA58" s="594">
        <f>+SUM(AW58:AZ58)</f>
        <v>293.86649999999997</v>
      </c>
      <c r="BB58" s="60">
        <f>+AW58*(1+BB59)</f>
        <v>84.774495000000002</v>
      </c>
      <c r="BC58" s="60">
        <f>+AX58*(1+BC59)</f>
        <v>92.794680000000014</v>
      </c>
      <c r="BD58" s="60">
        <f>+AY58*(1+BD59)</f>
        <v>70.786920000000009</v>
      </c>
      <c r="BE58" s="60">
        <f>+AZ58*(1+BE59)</f>
        <v>66.081059999999994</v>
      </c>
      <c r="BF58" s="594">
        <f>+SUM(BB58:BE58)</f>
        <v>314.43715500000002</v>
      </c>
      <c r="BG58" s="514">
        <f>+BB58*(1+BG59)</f>
        <v>89.225155987500003</v>
      </c>
      <c r="BH58" s="514">
        <f>+BC58*(1+BH59)</f>
        <v>97.666400700000011</v>
      </c>
      <c r="BI58" s="514">
        <f>+BD58*(1+BI59)</f>
        <v>74.503233300000005</v>
      </c>
      <c r="BJ58" s="514">
        <f>+BE58*(1+BJ59)</f>
        <v>69.550315649999987</v>
      </c>
      <c r="BK58" s="594">
        <f>+SUM(BG58:BJ58)</f>
        <v>330.94510563749998</v>
      </c>
      <c r="BL58" s="514">
        <f>+BG58*(1+BL59)</f>
        <v>93.24028800693749</v>
      </c>
      <c r="BM58" s="514">
        <f>+BH58*(1+BM59)</f>
        <v>102.0613887315</v>
      </c>
      <c r="BN58" s="514">
        <f>+BI58*(1+BN59)</f>
        <v>77.855878798500001</v>
      </c>
      <c r="BO58" s="514">
        <f>+BJ58*(1+BO59)</f>
        <v>72.680079854249982</v>
      </c>
      <c r="BP58" s="594">
        <f>+SUM(BL58:BO58)</f>
        <v>345.83763539118746</v>
      </c>
      <c r="BQ58" s="514">
        <f>+BL58*(1+BQ59)</f>
        <v>96.969899527214992</v>
      </c>
      <c r="BR58" s="514">
        <f>+BM58*(1+BR59)</f>
        <v>106.14384428076001</v>
      </c>
      <c r="BS58" s="514">
        <f>+BN58*(1+BS59)</f>
        <v>80.970113950440009</v>
      </c>
      <c r="BT58" s="514">
        <f>+BO58*(1+BT59)</f>
        <v>75.587283048419991</v>
      </c>
      <c r="BU58" s="594">
        <f>+SUM(BQ58:BT58)</f>
        <v>359.67114080683496</v>
      </c>
      <c r="BV58" s="545"/>
      <c r="CA58" s="309"/>
      <c r="CB58" s="309"/>
      <c r="CC58" s="309"/>
      <c r="CD58" s="309"/>
      <c r="CF58" s="642"/>
      <c r="CG58" s="708"/>
      <c r="CH58" s="708"/>
      <c r="CI58" s="708"/>
    </row>
    <row r="59" spans="1:92" x14ac:dyDescent="0.2">
      <c r="A59" s="294" t="s">
        <v>278</v>
      </c>
      <c r="B59" s="126"/>
      <c r="C59" s="126"/>
      <c r="D59" s="396"/>
      <c r="E59" s="396"/>
      <c r="F59" s="396"/>
      <c r="G59" s="395"/>
      <c r="H59" s="449"/>
      <c r="I59" s="396"/>
      <c r="J59" s="396"/>
      <c r="K59" s="396"/>
      <c r="L59" s="395"/>
      <c r="M59" s="449"/>
      <c r="N59" s="338"/>
      <c r="O59" s="338"/>
      <c r="P59" s="338"/>
      <c r="Q59" s="338"/>
      <c r="R59" s="449"/>
      <c r="S59" s="338"/>
      <c r="T59" s="338"/>
      <c r="U59" s="338"/>
      <c r="V59" s="338"/>
      <c r="W59" s="442"/>
      <c r="X59" s="36">
        <f>+X14</f>
        <v>3.5000000000000003E-2</v>
      </c>
      <c r="Y59" s="36">
        <f>+Y14</f>
        <v>1.0999999999999999E-2</v>
      </c>
      <c r="Z59" s="36">
        <f>+Z14</f>
        <v>0.16900000000000001</v>
      </c>
      <c r="AA59" s="36">
        <f>+AA14</f>
        <v>9.9000000000000005E-2</v>
      </c>
      <c r="AB59" s="442">
        <f>+AB14</f>
        <v>6.9000000000000006E-2</v>
      </c>
      <c r="AC59" s="36">
        <f t="shared" ref="AC59:AM59" si="73">+AC58/X58-1</f>
        <v>0.10810810810810811</v>
      </c>
      <c r="AD59" s="36">
        <f t="shared" si="73"/>
        <v>6.7961165048543659E-2</v>
      </c>
      <c r="AE59" s="36">
        <f t="shared" si="73"/>
        <v>0.14111922141119204</v>
      </c>
      <c r="AF59" s="36">
        <f t="shared" si="73"/>
        <v>0.10626702997275195</v>
      </c>
      <c r="AG59" s="449">
        <f t="shared" si="73"/>
        <v>0.10372040586245768</v>
      </c>
      <c r="AH59" s="36">
        <f t="shared" si="73"/>
        <v>9.9437148217636162E-2</v>
      </c>
      <c r="AI59" s="36">
        <f t="shared" si="73"/>
        <v>0.13090909090909086</v>
      </c>
      <c r="AJ59" s="36">
        <f t="shared" si="73"/>
        <v>7.0362473347548082E-2</v>
      </c>
      <c r="AK59" s="36">
        <f t="shared" si="73"/>
        <v>0.1354679802955665</v>
      </c>
      <c r="AL59" s="449">
        <f t="shared" si="73"/>
        <v>0.10878447395301327</v>
      </c>
      <c r="AM59" s="36">
        <f t="shared" si="73"/>
        <v>0.11945392491467555</v>
      </c>
      <c r="AN59" s="36">
        <f>+AN58/AI58-1</f>
        <v>0.13022508038585201</v>
      </c>
      <c r="AO59" s="36">
        <f>+AO58/AJ58-1</f>
        <v>0.10159362549800788</v>
      </c>
      <c r="AP59" s="36">
        <f t="shared" ref="AP59:AV59" si="74">+AP58/AK62-1</f>
        <v>8.7234042553191449E-2</v>
      </c>
      <c r="AQ59" s="449">
        <f t="shared" si="74"/>
        <v>0.11146788990825685</v>
      </c>
      <c r="AR59" s="36">
        <f t="shared" si="74"/>
        <v>7.0149253731343286E-2</v>
      </c>
      <c r="AS59" s="36">
        <f t="shared" si="74"/>
        <v>0.11682892906815012</v>
      </c>
      <c r="AT59" s="36">
        <f t="shared" si="74"/>
        <v>5.8614564831261262E-2</v>
      </c>
      <c r="AU59" s="36">
        <f t="shared" si="74"/>
        <v>0.1015625</v>
      </c>
      <c r="AV59" s="449">
        <f t="shared" si="74"/>
        <v>8.7662337662337775E-2</v>
      </c>
      <c r="AW59" s="338">
        <f>+AW14</f>
        <v>0.105</v>
      </c>
      <c r="AX59" s="338">
        <f>+AX14</f>
        <v>0.08</v>
      </c>
      <c r="AY59" s="338">
        <f>+AY14</f>
        <v>0.11</v>
      </c>
      <c r="AZ59" s="338">
        <f>+AZ14</f>
        <v>9.5000000000000001E-2</v>
      </c>
      <c r="BA59" s="449">
        <f>+BA58/AV58-1</f>
        <v>9.6516791044775951E-2</v>
      </c>
      <c r="BB59" s="338">
        <f t="shared" ref="BB59:BT59" si="75">+BB14</f>
        <v>7.0000000000000007E-2</v>
      </c>
      <c r="BC59" s="338">
        <f t="shared" si="75"/>
        <v>7.0000000000000007E-2</v>
      </c>
      <c r="BD59" s="338">
        <f t="shared" si="75"/>
        <v>7.0000000000000007E-2</v>
      </c>
      <c r="BE59" s="338">
        <f t="shared" si="75"/>
        <v>7.0000000000000007E-2</v>
      </c>
      <c r="BF59" s="449">
        <f>+BF58/BA58-1</f>
        <v>7.0000000000000062E-2</v>
      </c>
      <c r="BG59" s="515">
        <f t="shared" si="75"/>
        <v>5.2499999999999998E-2</v>
      </c>
      <c r="BH59" s="515">
        <f t="shared" si="75"/>
        <v>5.2499999999999998E-2</v>
      </c>
      <c r="BI59" s="515">
        <f t="shared" si="75"/>
        <v>5.2499999999999998E-2</v>
      </c>
      <c r="BJ59" s="515">
        <f t="shared" si="75"/>
        <v>5.2499999999999998E-2</v>
      </c>
      <c r="BK59" s="449">
        <f>+BK58/BF58-1</f>
        <v>5.2499999999999769E-2</v>
      </c>
      <c r="BL59" s="515">
        <f t="shared" si="75"/>
        <v>4.4999999999999998E-2</v>
      </c>
      <c r="BM59" s="515">
        <f t="shared" si="75"/>
        <v>4.4999999999999998E-2</v>
      </c>
      <c r="BN59" s="515">
        <f t="shared" si="75"/>
        <v>4.4999999999999998E-2</v>
      </c>
      <c r="BO59" s="515">
        <f t="shared" si="75"/>
        <v>4.4999999999999998E-2</v>
      </c>
      <c r="BP59" s="449">
        <f>+BP58/BK58-1</f>
        <v>4.4999999999999929E-2</v>
      </c>
      <c r="BQ59" s="515">
        <f t="shared" si="75"/>
        <v>0.04</v>
      </c>
      <c r="BR59" s="515">
        <f t="shared" si="75"/>
        <v>0.04</v>
      </c>
      <c r="BS59" s="515">
        <f t="shared" si="75"/>
        <v>0.04</v>
      </c>
      <c r="BT59" s="515">
        <f t="shared" si="75"/>
        <v>0.04</v>
      </c>
      <c r="BU59" s="449">
        <f>+BU58/BP58-1</f>
        <v>4.0000000000000036E-2</v>
      </c>
      <c r="BW59" s="709"/>
      <c r="CF59" s="642"/>
    </row>
    <row r="60" spans="1:92" x14ac:dyDescent="0.2">
      <c r="A60" s="306" t="s">
        <v>241</v>
      </c>
      <c r="B60" s="306"/>
      <c r="C60" s="306"/>
      <c r="D60" s="366"/>
      <c r="E60" s="366"/>
      <c r="F60" s="366"/>
      <c r="G60" s="365"/>
      <c r="H60" s="502"/>
      <c r="I60" s="366"/>
      <c r="J60" s="366"/>
      <c r="K60" s="366"/>
      <c r="L60" s="365"/>
      <c r="M60" s="502"/>
      <c r="N60" s="366"/>
      <c r="O60" s="366"/>
      <c r="P60" s="366"/>
      <c r="Q60" s="365"/>
      <c r="R60" s="502"/>
      <c r="S60" s="366"/>
      <c r="T60" s="366"/>
      <c r="U60" s="366"/>
      <c r="V60" s="365"/>
      <c r="W60" s="440"/>
      <c r="X60" s="366"/>
      <c r="Y60" s="366"/>
      <c r="Z60" s="366"/>
      <c r="AA60" s="365"/>
      <c r="AB60" s="509">
        <f t="shared" ref="AB60:AJ60" si="76">+AB58/11.74</f>
        <v>15.110732538330492</v>
      </c>
      <c r="AC60" s="391">
        <f t="shared" si="76"/>
        <v>4.540034071550255</v>
      </c>
      <c r="AD60" s="391">
        <f t="shared" si="76"/>
        <v>4.6848381601362865</v>
      </c>
      <c r="AE60" s="391">
        <f t="shared" si="76"/>
        <v>3.9948892674616694</v>
      </c>
      <c r="AF60" s="391">
        <f t="shared" si="76"/>
        <v>3.4582623509369679</v>
      </c>
      <c r="AG60" s="509">
        <f t="shared" si="76"/>
        <v>16.678023850085179</v>
      </c>
      <c r="AH60" s="391">
        <f t="shared" si="76"/>
        <v>4.9914821124361159</v>
      </c>
      <c r="AI60" s="391">
        <f t="shared" si="76"/>
        <v>5.2981260647359454</v>
      </c>
      <c r="AJ60" s="391">
        <f t="shared" si="76"/>
        <v>4.2759795570698467</v>
      </c>
      <c r="AK60" s="391">
        <f t="shared" ref="AK60:AP60" si="77">+AK58/11.74</f>
        <v>3.9267461669505961</v>
      </c>
      <c r="AL60" s="509">
        <f t="shared" si="77"/>
        <v>18.492333901192502</v>
      </c>
      <c r="AM60" s="391">
        <f t="shared" si="77"/>
        <v>5.5877342419080058</v>
      </c>
      <c r="AN60" s="391">
        <f t="shared" si="77"/>
        <v>5.9880749574105616</v>
      </c>
      <c r="AO60" s="391">
        <f t="shared" si="77"/>
        <v>4.7103918228279387</v>
      </c>
      <c r="AP60" s="391">
        <f t="shared" si="77"/>
        <v>4.352640545144804</v>
      </c>
      <c r="AQ60" s="509">
        <f t="shared" ref="AQ60:AV60" si="78">+AQ58/11.74</f>
        <v>20.638841567291308</v>
      </c>
      <c r="AR60" s="391">
        <f>+AR58/11.74</f>
        <v>6.1073253833049401</v>
      </c>
      <c r="AS60" s="391">
        <f t="shared" si="78"/>
        <v>6.8398637137989775</v>
      </c>
      <c r="AT60" s="391">
        <f>+AT58/11.74</f>
        <v>5.0766609880749574</v>
      </c>
      <c r="AU60" s="391">
        <f t="shared" si="78"/>
        <v>4.8040885860306641</v>
      </c>
      <c r="AV60" s="509">
        <f t="shared" si="78"/>
        <v>22.827938671209541</v>
      </c>
      <c r="AW60" s="391">
        <f t="shared" ref="AW60:BU60" si="79">+AW58/11.74</f>
        <v>6.7485945485519583</v>
      </c>
      <c r="AX60" s="391">
        <f t="shared" si="79"/>
        <v>7.3870528109028966</v>
      </c>
      <c r="AY60" s="391">
        <f t="shared" si="79"/>
        <v>5.635093696763203</v>
      </c>
      <c r="AZ60" s="391">
        <f t="shared" si="79"/>
        <v>5.2604770017035767</v>
      </c>
      <c r="BA60" s="509">
        <f>+BA58/11.74</f>
        <v>25.031218057921631</v>
      </c>
      <c r="BB60" s="391">
        <f t="shared" si="79"/>
        <v>7.220996166950596</v>
      </c>
      <c r="BC60" s="391">
        <f t="shared" si="79"/>
        <v>7.9041465076661002</v>
      </c>
      <c r="BD60" s="391">
        <f t="shared" si="79"/>
        <v>6.0295502555366278</v>
      </c>
      <c r="BE60" s="391">
        <f t="shared" si="79"/>
        <v>5.6287103918228274</v>
      </c>
      <c r="BF60" s="509">
        <f>+BF58/11.74</f>
        <v>26.783403321976152</v>
      </c>
      <c r="BG60" s="391">
        <f t="shared" si="79"/>
        <v>7.6000984657155026</v>
      </c>
      <c r="BH60" s="391">
        <f t="shared" si="79"/>
        <v>8.3191141993185695</v>
      </c>
      <c r="BI60" s="391">
        <f t="shared" si="79"/>
        <v>6.3461016439523004</v>
      </c>
      <c r="BJ60" s="391">
        <f t="shared" si="79"/>
        <v>5.9242176873935248</v>
      </c>
      <c r="BK60" s="509">
        <f>+BK58/11.74</f>
        <v>28.189531996379895</v>
      </c>
      <c r="BL60" s="391">
        <f t="shared" si="79"/>
        <v>7.942102896672699</v>
      </c>
      <c r="BM60" s="391">
        <f t="shared" si="79"/>
        <v>8.6934743382879045</v>
      </c>
      <c r="BN60" s="391">
        <f t="shared" si="79"/>
        <v>6.6316762179301536</v>
      </c>
      <c r="BO60" s="391">
        <f t="shared" si="79"/>
        <v>6.1908074833262337</v>
      </c>
      <c r="BP60" s="509">
        <f t="shared" si="79"/>
        <v>29.458060936216988</v>
      </c>
      <c r="BQ60" s="391">
        <f t="shared" si="79"/>
        <v>8.2597870125396078</v>
      </c>
      <c r="BR60" s="391">
        <f t="shared" si="79"/>
        <v>9.0412133118194209</v>
      </c>
      <c r="BS60" s="391">
        <f t="shared" si="79"/>
        <v>6.8969432666473605</v>
      </c>
      <c r="BT60" s="391">
        <f t="shared" si="79"/>
        <v>6.4384397826592838</v>
      </c>
      <c r="BU60" s="509">
        <f t="shared" si="79"/>
        <v>30.636383373665669</v>
      </c>
      <c r="CG60" s="703"/>
      <c r="CH60" s="703"/>
      <c r="CI60" s="703"/>
    </row>
    <row r="61" spans="1:92" x14ac:dyDescent="0.2">
      <c r="A61" s="564" t="s">
        <v>286</v>
      </c>
      <c r="B61" s="72"/>
      <c r="C61" s="72"/>
      <c r="D61" s="61"/>
      <c r="E61" s="61"/>
      <c r="F61" s="61"/>
      <c r="G61" s="514"/>
      <c r="H61" s="499"/>
      <c r="I61" s="61"/>
      <c r="J61" s="61"/>
      <c r="K61" s="61"/>
      <c r="L61" s="514"/>
      <c r="M61" s="499"/>
      <c r="N61" s="61"/>
      <c r="O61" s="61"/>
      <c r="P61" s="61"/>
      <c r="Q61" s="514"/>
      <c r="R61" s="499"/>
      <c r="S61" s="61"/>
      <c r="T61" s="61"/>
      <c r="U61" s="61"/>
      <c r="V61" s="514"/>
      <c r="W61" s="442"/>
      <c r="X61" s="61"/>
      <c r="Y61" s="61"/>
      <c r="Z61" s="61"/>
      <c r="AA61" s="514"/>
      <c r="AB61" s="576"/>
      <c r="AC61" s="320"/>
      <c r="AD61" s="320"/>
      <c r="AE61" s="320"/>
      <c r="AF61" s="320"/>
      <c r="AG61" s="576"/>
      <c r="AH61" s="320">
        <v>0</v>
      </c>
      <c r="AI61" s="320">
        <v>0</v>
      </c>
      <c r="AJ61" s="320">
        <v>0</v>
      </c>
      <c r="AK61" s="422">
        <f>47-AK58</f>
        <v>0.89999999999999858</v>
      </c>
      <c r="AL61" s="576">
        <f>+SUM(AH61:AK61)</f>
        <v>0.89999999999999858</v>
      </c>
      <c r="AM61" s="422">
        <f>67-AM58</f>
        <v>1.4000000000000057</v>
      </c>
      <c r="AN61" s="320">
        <f>71.9-AN58</f>
        <v>1.6000000000000085</v>
      </c>
      <c r="AO61" s="320">
        <f>56.3-AO58</f>
        <v>1</v>
      </c>
      <c r="AP61" s="320">
        <f>+AP62-AP58</f>
        <v>0.10000000000000142</v>
      </c>
      <c r="AQ61" s="576">
        <f>+SUM(AM61:AP61)</f>
        <v>4.1000000000000156</v>
      </c>
      <c r="AR61" s="320">
        <f>+AR62-AR58</f>
        <v>0</v>
      </c>
      <c r="AS61" s="320">
        <f>+AS62-AS58</f>
        <v>0</v>
      </c>
      <c r="AT61" s="320">
        <v>0</v>
      </c>
      <c r="AU61" s="320">
        <v>0</v>
      </c>
      <c r="AV61" s="576">
        <f>+SUM(AR61:AU61)</f>
        <v>0</v>
      </c>
      <c r="AW61" s="320"/>
      <c r="AX61" s="320"/>
      <c r="AY61" s="320"/>
      <c r="AZ61" s="320"/>
      <c r="BA61" s="576"/>
      <c r="BB61" s="320"/>
      <c r="BC61" s="320"/>
      <c r="BD61" s="320"/>
      <c r="BE61" s="320"/>
      <c r="BF61" s="576"/>
      <c r="BG61" s="320"/>
      <c r="BH61" s="320"/>
      <c r="BI61" s="320"/>
      <c r="BJ61" s="320"/>
      <c r="BK61" s="576"/>
      <c r="BL61" s="320"/>
      <c r="BM61" s="320"/>
      <c r="BN61" s="320"/>
      <c r="BO61" s="320"/>
      <c r="BP61" s="576"/>
      <c r="BQ61" s="320"/>
      <c r="BR61" s="320"/>
      <c r="BS61" s="320"/>
      <c r="BT61" s="320"/>
      <c r="BU61" s="576"/>
    </row>
    <row r="62" spans="1:92" x14ac:dyDescent="0.2">
      <c r="A62" s="564" t="s">
        <v>287</v>
      </c>
      <c r="B62" s="72"/>
      <c r="C62" s="72"/>
      <c r="D62" s="61"/>
      <c r="E62" s="61"/>
      <c r="F62" s="61"/>
      <c r="G62" s="514"/>
      <c r="H62" s="499"/>
      <c r="I62" s="61"/>
      <c r="J62" s="61"/>
      <c r="K62" s="61"/>
      <c r="L62" s="514"/>
      <c r="M62" s="499"/>
      <c r="N62" s="61"/>
      <c r="O62" s="61"/>
      <c r="P62" s="61"/>
      <c r="Q62" s="514"/>
      <c r="R62" s="499"/>
      <c r="S62" s="61"/>
      <c r="T62" s="61"/>
      <c r="U62" s="61"/>
      <c r="V62" s="514"/>
      <c r="W62" s="442"/>
      <c r="X62" s="61"/>
      <c r="Y62" s="61"/>
      <c r="Z62" s="61"/>
      <c r="AA62" s="514"/>
      <c r="AB62" s="576"/>
      <c r="AC62" s="320"/>
      <c r="AD62" s="320"/>
      <c r="AE62" s="320"/>
      <c r="AF62" s="320"/>
      <c r="AG62" s="576"/>
      <c r="AH62" s="422">
        <f>+AH61+AH58</f>
        <v>58.6</v>
      </c>
      <c r="AI62" s="422">
        <f>+AI61+AI58</f>
        <v>62.2</v>
      </c>
      <c r="AJ62" s="422">
        <f>+AJ61+AJ58</f>
        <v>50.2</v>
      </c>
      <c r="AK62" s="422">
        <f>+AK61+AK58</f>
        <v>47</v>
      </c>
      <c r="AL62" s="576">
        <f>+SUM(AH62:AK62)</f>
        <v>218</v>
      </c>
      <c r="AM62" s="422">
        <f>+AM61+AM58</f>
        <v>67</v>
      </c>
      <c r="AN62" s="422">
        <f>+AN61+AN58</f>
        <v>71.900000000000006</v>
      </c>
      <c r="AO62" s="422">
        <f>+AO61+AO58</f>
        <v>56.3</v>
      </c>
      <c r="AP62" s="320">
        <v>51.2</v>
      </c>
      <c r="AQ62" s="576">
        <f>+SUM(AM62:AP62)</f>
        <v>246.39999999999998</v>
      </c>
      <c r="AR62" s="320">
        <v>71.7</v>
      </c>
      <c r="AS62" s="320">
        <v>80.3</v>
      </c>
      <c r="AT62" s="320">
        <f>+AO62*(1+AT59)</f>
        <v>59.600000000000009</v>
      </c>
      <c r="AU62" s="320">
        <f>+AP62*(1+AU59)</f>
        <v>56.400000000000006</v>
      </c>
      <c r="AV62" s="576">
        <f>+SUM(AR62:AU62)</f>
        <v>268</v>
      </c>
      <c r="AW62" s="320">
        <f>+AR62*(1+AW59)</f>
        <v>79.228499999999997</v>
      </c>
      <c r="AX62" s="320">
        <f>+AS62*(1+AX59)</f>
        <v>86.724000000000004</v>
      </c>
      <c r="AY62" s="320">
        <f>+AT62*(1+AY59)</f>
        <v>66.15600000000002</v>
      </c>
      <c r="AZ62" s="320">
        <f>+AU62*(1+AZ59)</f>
        <v>61.758000000000003</v>
      </c>
      <c r="BA62" s="576">
        <f>+SUM(AW62:AZ62)</f>
        <v>293.86649999999997</v>
      </c>
      <c r="BB62" s="320"/>
      <c r="BC62" s="320"/>
      <c r="BD62" s="320"/>
      <c r="BE62" s="320"/>
      <c r="BF62" s="576"/>
      <c r="BG62" s="320"/>
      <c r="BH62" s="320"/>
      <c r="BI62" s="320"/>
      <c r="BJ62" s="320"/>
      <c r="BK62" s="576"/>
      <c r="BL62" s="320"/>
      <c r="BM62" s="320"/>
      <c r="BN62" s="320"/>
      <c r="BO62" s="320"/>
      <c r="BP62" s="576"/>
      <c r="BQ62" s="320"/>
      <c r="BR62" s="320"/>
      <c r="BS62" s="320"/>
      <c r="BT62" s="320"/>
      <c r="BU62" s="576"/>
      <c r="CA62" s="703"/>
      <c r="CC62" s="701"/>
      <c r="CG62" s="710"/>
      <c r="CH62" s="703"/>
      <c r="CI62" s="703"/>
      <c r="CM62" s="642"/>
      <c r="CN62" s="309"/>
    </row>
    <row r="63" spans="1:92" x14ac:dyDescent="0.2">
      <c r="A63" s="294"/>
      <c r="B63" s="72"/>
      <c r="C63" s="72"/>
      <c r="D63" s="61"/>
      <c r="E63" s="61"/>
      <c r="F63" s="61"/>
      <c r="G63" s="514"/>
      <c r="H63" s="499"/>
      <c r="I63" s="61"/>
      <c r="J63" s="61"/>
      <c r="K63" s="61"/>
      <c r="L63" s="514"/>
      <c r="M63" s="499"/>
      <c r="N63" s="61"/>
      <c r="O63" s="61"/>
      <c r="P63" s="61"/>
      <c r="Q63" s="514"/>
      <c r="R63" s="499"/>
      <c r="S63" s="61"/>
      <c r="T63" s="61"/>
      <c r="U63" s="61"/>
      <c r="V63" s="514"/>
      <c r="W63" s="442"/>
      <c r="X63" s="61"/>
      <c r="Y63" s="61"/>
      <c r="Z63" s="61"/>
      <c r="AA63" s="514"/>
      <c r="AB63" s="576"/>
      <c r="AC63" s="575"/>
      <c r="AD63" s="575"/>
      <c r="AE63" s="575"/>
      <c r="AF63" s="575"/>
      <c r="AG63" s="576"/>
      <c r="AH63" s="575"/>
      <c r="AI63" s="575"/>
      <c r="AJ63" s="575"/>
      <c r="AK63" s="575"/>
      <c r="AL63" s="576"/>
      <c r="AM63" s="575"/>
      <c r="AN63" s="575"/>
      <c r="AO63" s="575"/>
      <c r="AP63" s="575"/>
      <c r="AQ63" s="576"/>
      <c r="AR63" s="575"/>
      <c r="AS63" s="575"/>
      <c r="AT63" s="575"/>
      <c r="AU63" s="575"/>
      <c r="AV63" s="576"/>
      <c r="AW63" s="575"/>
      <c r="AX63" s="575"/>
      <c r="AY63" s="575"/>
      <c r="AZ63" s="575"/>
      <c r="BA63" s="576"/>
      <c r="BB63" s="172"/>
      <c r="BC63" s="320"/>
      <c r="BD63" s="320"/>
      <c r="BE63" s="320"/>
      <c r="BF63" s="576"/>
      <c r="BG63" s="320"/>
      <c r="BH63" s="320"/>
      <c r="BI63" s="320"/>
      <c r="BJ63" s="320"/>
      <c r="BK63" s="576"/>
      <c r="BL63" s="320"/>
      <c r="BM63" s="320"/>
      <c r="BN63" s="320"/>
      <c r="BO63" s="320"/>
      <c r="BP63" s="576"/>
      <c r="BQ63" s="320"/>
      <c r="BR63" s="320"/>
      <c r="BS63" s="320"/>
      <c r="BT63" s="320"/>
      <c r="BU63" s="576"/>
      <c r="CE63" s="706"/>
      <c r="CF63" s="642"/>
      <c r="CG63" s="706"/>
      <c r="CH63" s="703"/>
      <c r="CI63" s="642"/>
      <c r="CK63" s="703"/>
    </row>
    <row r="64" spans="1:92" x14ac:dyDescent="0.2">
      <c r="A64" s="294"/>
      <c r="B64" s="72"/>
      <c r="C64" s="72"/>
      <c r="D64" s="61"/>
      <c r="E64" s="61"/>
      <c r="F64" s="61"/>
      <c r="G64" s="514"/>
      <c r="H64" s="499"/>
      <c r="I64" s="61"/>
      <c r="J64" s="61"/>
      <c r="K64" s="61"/>
      <c r="L64" s="514"/>
      <c r="M64" s="499"/>
      <c r="N64" s="61"/>
      <c r="O64" s="61"/>
      <c r="P64" s="61"/>
      <c r="Q64" s="514"/>
      <c r="R64" s="499"/>
      <c r="S64" s="61"/>
      <c r="T64" s="61"/>
      <c r="U64" s="61"/>
      <c r="V64" s="514"/>
      <c r="W64" s="442"/>
      <c r="X64" s="61"/>
      <c r="Y64" s="61"/>
      <c r="Z64" s="61"/>
      <c r="AA64" s="514"/>
      <c r="AB64" s="576"/>
      <c r="AC64" s="575"/>
      <c r="AD64" s="575"/>
      <c r="AE64" s="575"/>
      <c r="AF64" s="575"/>
      <c r="AG64" s="576"/>
      <c r="AH64" s="575"/>
      <c r="AI64" s="575"/>
      <c r="AJ64" s="575"/>
      <c r="AK64" s="575"/>
      <c r="AL64" s="576"/>
      <c r="AM64" s="575"/>
      <c r="AN64" s="575"/>
      <c r="AO64" s="575"/>
      <c r="AP64" s="575"/>
      <c r="AQ64" s="576"/>
      <c r="AR64" s="575"/>
      <c r="AS64" s="575"/>
      <c r="AT64" s="575"/>
      <c r="AU64" s="575"/>
      <c r="AV64" s="576"/>
      <c r="AW64" s="575"/>
      <c r="AX64" s="575"/>
      <c r="AY64" s="575"/>
      <c r="AZ64" s="575"/>
      <c r="BA64" s="576"/>
      <c r="BB64" s="172"/>
      <c r="BC64" s="320"/>
      <c r="BD64" s="320"/>
      <c r="BE64" s="320"/>
      <c r="BF64" s="576"/>
      <c r="BG64" s="320"/>
      <c r="BH64" s="320"/>
      <c r="BI64" s="320"/>
      <c r="BJ64" s="320"/>
      <c r="BK64" s="576"/>
      <c r="BL64" s="320"/>
      <c r="BM64" s="320"/>
      <c r="BN64" s="320"/>
      <c r="BO64" s="320"/>
      <c r="BP64" s="576"/>
      <c r="BQ64" s="320"/>
      <c r="BR64" s="320"/>
      <c r="BS64" s="320"/>
      <c r="BT64" s="320"/>
      <c r="BU64" s="576"/>
      <c r="CE64" s="706"/>
      <c r="CF64" s="642"/>
      <c r="CG64" s="706"/>
      <c r="CH64" s="703"/>
      <c r="CI64" s="642"/>
      <c r="CK64" s="703"/>
    </row>
    <row r="65" spans="1:97" x14ac:dyDescent="0.2">
      <c r="A65" s="564"/>
      <c r="B65" s="2"/>
      <c r="C65" s="2"/>
      <c r="D65" s="36"/>
      <c r="E65" s="36"/>
      <c r="F65" s="36"/>
      <c r="G65" s="36"/>
      <c r="H65" s="442"/>
      <c r="I65" s="36"/>
      <c r="J65" s="36"/>
      <c r="K65" s="36"/>
      <c r="L65" s="36"/>
      <c r="M65" s="442"/>
      <c r="N65" s="36"/>
      <c r="O65" s="36"/>
      <c r="P65" s="38"/>
      <c r="Q65" s="38"/>
      <c r="R65" s="442"/>
      <c r="S65" s="38"/>
      <c r="T65" s="38"/>
      <c r="U65" s="38"/>
      <c r="V65" s="38"/>
      <c r="W65" s="442"/>
      <c r="X65" s="38"/>
      <c r="Y65" s="38"/>
      <c r="Z65" s="38"/>
      <c r="AA65" s="38"/>
      <c r="AB65" s="442"/>
      <c r="AC65" s="36"/>
      <c r="AD65" s="36"/>
      <c r="AE65" s="36"/>
      <c r="AF65" s="36"/>
      <c r="AG65" s="442"/>
      <c r="AH65" s="36"/>
      <c r="AI65" s="36"/>
      <c r="AJ65" s="36"/>
      <c r="AK65" s="36"/>
      <c r="AL65" s="442"/>
      <c r="AM65" s="2"/>
      <c r="AN65" s="933"/>
      <c r="AO65" s="933"/>
      <c r="AP65" s="36"/>
      <c r="AQ65" s="442"/>
      <c r="AR65" s="36"/>
      <c r="AS65" s="36"/>
      <c r="AT65" s="36"/>
      <c r="AU65" s="36"/>
      <c r="AV65" s="442"/>
      <c r="AW65" s="36"/>
      <c r="AX65" s="36"/>
      <c r="AY65" s="36"/>
      <c r="AZ65" s="286"/>
      <c r="BA65" s="442"/>
      <c r="BB65" s="180"/>
      <c r="BC65" s="36"/>
      <c r="BD65" s="36"/>
      <c r="BE65" s="36"/>
      <c r="BF65" s="442"/>
      <c r="BG65" s="428"/>
      <c r="BH65" s="36"/>
      <c r="BI65" s="36"/>
      <c r="BJ65" s="36"/>
      <c r="BK65" s="442"/>
      <c r="BL65" s="36"/>
      <c r="BM65" s="36"/>
      <c r="BN65" s="36"/>
      <c r="BO65" s="36"/>
      <c r="BP65" s="442"/>
      <c r="BQ65" s="36"/>
      <c r="BR65" s="36"/>
      <c r="BS65" s="36"/>
      <c r="BT65" s="36"/>
      <c r="BU65" s="442"/>
      <c r="CF65" s="642"/>
      <c r="CG65" s="711"/>
      <c r="CH65" s="707"/>
      <c r="CI65" s="642"/>
      <c r="CJ65" s="712"/>
      <c r="CK65" s="707"/>
    </row>
    <row r="66" spans="1:97" x14ac:dyDescent="0.2">
      <c r="A66" s="269" t="s">
        <v>269</v>
      </c>
      <c r="B66" s="251"/>
      <c r="C66" s="251"/>
      <c r="D66" s="246"/>
      <c r="E66" s="246"/>
      <c r="F66" s="246"/>
      <c r="G66" s="246"/>
      <c r="H66" s="503"/>
      <c r="I66" s="246"/>
      <c r="J66" s="246"/>
      <c r="K66" s="246"/>
      <c r="L66" s="246"/>
      <c r="M66" s="503"/>
      <c r="N66" s="246"/>
      <c r="O66" s="246"/>
      <c r="P66" s="246"/>
      <c r="Q66" s="246"/>
      <c r="R66" s="503"/>
      <c r="S66" s="348"/>
      <c r="T66" s="246"/>
      <c r="U66" s="246"/>
      <c r="V66" s="246"/>
      <c r="W66" s="503"/>
      <c r="X66" s="246"/>
      <c r="Y66" s="246"/>
      <c r="Z66" s="246"/>
      <c r="AA66" s="246"/>
      <c r="AB66" s="503"/>
      <c r="AC66" s="246"/>
      <c r="AD66" s="246"/>
      <c r="AE66" s="246"/>
      <c r="AF66" s="246"/>
      <c r="AG66" s="503"/>
      <c r="AH66" s="44"/>
      <c r="AI66" s="44"/>
      <c r="AJ66" s="44"/>
      <c r="AK66" s="44"/>
      <c r="AL66" s="503"/>
      <c r="AM66" s="44"/>
      <c r="AN66" s="44"/>
      <c r="AO66" s="44"/>
      <c r="AP66" s="44"/>
      <c r="AQ66" s="503"/>
      <c r="AR66" s="44"/>
      <c r="AS66" s="44"/>
      <c r="AT66" s="44"/>
      <c r="AU66" s="44"/>
      <c r="AV66" s="503"/>
      <c r="AW66" s="44"/>
      <c r="AX66" s="44"/>
      <c r="AY66" s="44"/>
      <c r="AZ66" s="44"/>
      <c r="BA66" s="503"/>
      <c r="BB66" s="246"/>
      <c r="BC66" s="246"/>
      <c r="BD66" s="246"/>
      <c r="BE66" s="246"/>
      <c r="BF66" s="503"/>
      <c r="BG66" s="246"/>
      <c r="BH66" s="246"/>
      <c r="BI66" s="246"/>
      <c r="BJ66" s="246"/>
      <c r="BK66" s="503"/>
      <c r="BL66" s="246"/>
      <c r="BM66" s="246"/>
      <c r="BN66" s="246"/>
      <c r="BO66" s="246"/>
      <c r="BP66" s="503"/>
      <c r="BQ66" s="246"/>
      <c r="BR66" s="246"/>
      <c r="BS66" s="246"/>
      <c r="BT66" s="246"/>
      <c r="BU66" s="503"/>
      <c r="CF66" s="642"/>
      <c r="CG66" s="711"/>
      <c r="CH66" s="707"/>
      <c r="CI66" s="706"/>
      <c r="CJ66" s="703"/>
    </row>
    <row r="67" spans="1:97" x14ac:dyDescent="0.2">
      <c r="A67" s="2" t="s">
        <v>238</v>
      </c>
      <c r="B67" s="2"/>
      <c r="C67" s="270"/>
      <c r="D67" s="63"/>
      <c r="E67" s="63"/>
      <c r="F67" s="62"/>
      <c r="G67" s="63"/>
      <c r="H67" s="503"/>
      <c r="I67" s="62">
        <v>15.7</v>
      </c>
      <c r="J67" s="63">
        <v>16.600000000000001</v>
      </c>
      <c r="K67" s="62">
        <v>17.7</v>
      </c>
      <c r="L67" s="62">
        <v>16.8</v>
      </c>
      <c r="M67" s="503">
        <v>62.4</v>
      </c>
      <c r="N67" s="63">
        <v>14.8</v>
      </c>
      <c r="O67" s="63">
        <v>15.7</v>
      </c>
      <c r="P67" s="63">
        <v>16</v>
      </c>
      <c r="Q67" s="63">
        <v>15.1</v>
      </c>
      <c r="R67" s="503">
        <v>61.9</v>
      </c>
      <c r="S67" s="63">
        <v>14.8</v>
      </c>
      <c r="T67" s="63">
        <v>16.3</v>
      </c>
      <c r="U67" s="62">
        <v>17</v>
      </c>
      <c r="V67" s="63">
        <v>16.100000000000001</v>
      </c>
      <c r="W67" s="503">
        <f t="shared" ref="W67:W72" si="80">SUM(S67:V67)</f>
        <v>64.2</v>
      </c>
      <c r="X67" s="62">
        <v>15.7</v>
      </c>
      <c r="Y67" s="63">
        <v>16.600000000000001</v>
      </c>
      <c r="Z67" s="62">
        <v>17.7</v>
      </c>
      <c r="AA67" s="62">
        <v>16.8</v>
      </c>
      <c r="AB67" s="503">
        <f t="shared" ref="AB67:AB72" si="81">SUM(X67:AA67)</f>
        <v>66.8</v>
      </c>
      <c r="AC67" s="249">
        <v>15.1</v>
      </c>
      <c r="AD67" s="249">
        <v>16.8</v>
      </c>
      <c r="AE67" s="249">
        <v>18</v>
      </c>
      <c r="AF67" s="249">
        <v>16.100000000000001</v>
      </c>
      <c r="AG67" s="503">
        <f t="shared" ref="AG67:AG72" si="82">SUM(AC67:AF67)</f>
        <v>66</v>
      </c>
      <c r="AH67" s="535">
        <v>15.7</v>
      </c>
      <c r="AI67" s="535">
        <v>17</v>
      </c>
      <c r="AJ67" s="298">
        <v>18.399999999999999</v>
      </c>
      <c r="AK67" s="298">
        <v>17.100000000000001</v>
      </c>
      <c r="AL67" s="503">
        <f t="shared" ref="AL67:AL72" si="83">+SUM(AH67:AK67)</f>
        <v>68.2</v>
      </c>
      <c r="AM67" s="298">
        <v>16.399999999999999</v>
      </c>
      <c r="AN67" s="179">
        <v>18.2</v>
      </c>
      <c r="AO67" s="179">
        <v>18.3</v>
      </c>
      <c r="AP67" s="179">
        <v>16.3</v>
      </c>
      <c r="AQ67" s="503">
        <f t="shared" ref="AQ67:AQ72" si="84">+SUM(AM67:AP67)</f>
        <v>69.199999999999989</v>
      </c>
      <c r="AR67" s="179">
        <v>13.9</v>
      </c>
      <c r="AS67" s="179">
        <v>14.7</v>
      </c>
      <c r="AT67" s="179">
        <v>14.8</v>
      </c>
      <c r="AU67" s="179">
        <v>15.6</v>
      </c>
      <c r="AV67" s="503">
        <f t="shared" ref="AV67:AV72" si="85">+SUM(AR67:AU67)</f>
        <v>59.000000000000007</v>
      </c>
      <c r="AW67" s="249"/>
      <c r="AX67" s="249"/>
      <c r="AY67" s="240"/>
      <c r="AZ67" s="249"/>
      <c r="BA67" s="503"/>
      <c r="BB67" s="249"/>
      <c r="BC67" s="249"/>
      <c r="BD67" s="249"/>
      <c r="BE67" s="249"/>
      <c r="BF67" s="503"/>
      <c r="BG67" s="249"/>
      <c r="BH67" s="249"/>
      <c r="BI67" s="249"/>
      <c r="BJ67" s="249"/>
      <c r="BK67" s="503"/>
      <c r="BL67" s="249"/>
      <c r="BM67" s="249"/>
      <c r="BN67" s="249"/>
      <c r="BO67" s="249"/>
      <c r="BP67" s="503"/>
      <c r="BQ67" s="249"/>
      <c r="BR67" s="249"/>
      <c r="BS67" s="249"/>
      <c r="BT67" s="249"/>
      <c r="BU67" s="503"/>
    </row>
    <row r="68" spans="1:97" x14ac:dyDescent="0.2">
      <c r="A68" s="2" t="s">
        <v>239</v>
      </c>
      <c r="B68" s="2"/>
      <c r="C68" s="270"/>
      <c r="D68" s="63"/>
      <c r="E68" s="63"/>
      <c r="F68" s="62"/>
      <c r="G68" s="63"/>
      <c r="H68" s="503"/>
      <c r="I68" s="62">
        <v>15.5</v>
      </c>
      <c r="J68" s="63">
        <v>16.5</v>
      </c>
      <c r="K68" s="62">
        <v>17.7</v>
      </c>
      <c r="L68" s="62">
        <v>16.8</v>
      </c>
      <c r="M68" s="503">
        <v>63.6</v>
      </c>
      <c r="N68" s="63">
        <f>46.8-O68-P68:P68</f>
        <v>15.099999999999998</v>
      </c>
      <c r="O68" s="63">
        <v>15.7</v>
      </c>
      <c r="P68" s="63">
        <v>16</v>
      </c>
      <c r="Q68" s="62">
        <v>15</v>
      </c>
      <c r="R68" s="503">
        <f>SUM(N68:Q68)</f>
        <v>61.8</v>
      </c>
      <c r="S68" s="63">
        <v>14.7</v>
      </c>
      <c r="T68" s="63">
        <v>16.100000000000001</v>
      </c>
      <c r="U68" s="62">
        <v>16.7</v>
      </c>
      <c r="V68" s="63">
        <v>15.8</v>
      </c>
      <c r="W68" s="503">
        <f t="shared" si="80"/>
        <v>63.3</v>
      </c>
      <c r="X68" s="62">
        <v>15.5</v>
      </c>
      <c r="Y68" s="63">
        <v>16.5</v>
      </c>
      <c r="Z68" s="62">
        <v>17.7</v>
      </c>
      <c r="AA68" s="62">
        <v>16.8</v>
      </c>
      <c r="AB68" s="503">
        <f t="shared" si="81"/>
        <v>66.5</v>
      </c>
      <c r="AC68" s="249">
        <f>+AC67</f>
        <v>15.1</v>
      </c>
      <c r="AD68" s="249">
        <f>+AD67</f>
        <v>16.8</v>
      </c>
      <c r="AE68" s="249">
        <v>18</v>
      </c>
      <c r="AF68" s="249">
        <v>16.100000000000001</v>
      </c>
      <c r="AG68" s="503">
        <f t="shared" si="82"/>
        <v>66</v>
      </c>
      <c r="AH68" s="535">
        <f>+AH67</f>
        <v>15.7</v>
      </c>
      <c r="AI68" s="535">
        <f>+AI67</f>
        <v>17</v>
      </c>
      <c r="AJ68" s="298">
        <v>18.100000000000001</v>
      </c>
      <c r="AK68" s="298">
        <v>16.8</v>
      </c>
      <c r="AL68" s="503">
        <f t="shared" si="83"/>
        <v>67.600000000000009</v>
      </c>
      <c r="AM68" s="298">
        <v>16.100000000000001</v>
      </c>
      <c r="AN68" s="179">
        <v>18</v>
      </c>
      <c r="AO68" s="179">
        <v>18.2</v>
      </c>
      <c r="AP68" s="179">
        <v>16.100000000000001</v>
      </c>
      <c r="AQ68" s="503">
        <f t="shared" si="84"/>
        <v>68.400000000000006</v>
      </c>
      <c r="AR68" s="179">
        <v>13.7</v>
      </c>
      <c r="AS68" s="179">
        <v>14.6</v>
      </c>
      <c r="AT68" s="179">
        <v>14.7</v>
      </c>
      <c r="AU68" s="179">
        <v>15.6</v>
      </c>
      <c r="AV68" s="503">
        <f t="shared" si="85"/>
        <v>58.6</v>
      </c>
      <c r="AW68" s="253"/>
      <c r="AX68" s="253"/>
      <c r="AY68" s="253"/>
      <c r="AZ68" s="253"/>
      <c r="BA68" s="503"/>
      <c r="BB68" s="249"/>
      <c r="BC68" s="249"/>
      <c r="BD68" s="249"/>
      <c r="BE68" s="249"/>
      <c r="BF68" s="503"/>
      <c r="BG68" s="249"/>
      <c r="BH68" s="249"/>
      <c r="BI68" s="249"/>
      <c r="BJ68" s="249"/>
      <c r="BK68" s="503"/>
      <c r="BL68" s="249"/>
      <c r="BM68" s="249"/>
      <c r="BN68" s="249"/>
      <c r="BO68" s="249"/>
      <c r="BP68" s="503"/>
      <c r="BQ68" s="249"/>
      <c r="BR68" s="249"/>
      <c r="BS68" s="249"/>
      <c r="BT68" s="249"/>
      <c r="BU68" s="503"/>
      <c r="CF68" s="642"/>
      <c r="CG68" s="712"/>
    </row>
    <row r="69" spans="1:97" x14ac:dyDescent="0.2">
      <c r="A69" s="2" t="s">
        <v>26</v>
      </c>
      <c r="B69" s="2"/>
      <c r="C69" s="270"/>
      <c r="D69" s="63"/>
      <c r="E69" s="63"/>
      <c r="F69" s="62"/>
      <c r="G69" s="63"/>
      <c r="H69" s="503"/>
      <c r="I69" s="62">
        <v>11.9</v>
      </c>
      <c r="J69" s="63">
        <v>12.5</v>
      </c>
      <c r="K69" s="62">
        <v>13.7</v>
      </c>
      <c r="L69" s="62">
        <v>13.2</v>
      </c>
      <c r="M69" s="503">
        <v>48.8</v>
      </c>
      <c r="N69" s="63">
        <v>11.2</v>
      </c>
      <c r="O69" s="63">
        <v>11.9</v>
      </c>
      <c r="P69" s="63">
        <v>12.2</v>
      </c>
      <c r="Q69" s="63">
        <v>11.6</v>
      </c>
      <c r="R69" s="503">
        <f>SUM(N69:Q69)</f>
        <v>46.9</v>
      </c>
      <c r="S69" s="63">
        <v>11.2</v>
      </c>
      <c r="T69" s="63">
        <v>12.5</v>
      </c>
      <c r="U69" s="62">
        <v>13</v>
      </c>
      <c r="V69" s="63">
        <v>12.6</v>
      </c>
      <c r="W69" s="503">
        <f t="shared" si="80"/>
        <v>49.300000000000004</v>
      </c>
      <c r="X69" s="62">
        <v>11.9</v>
      </c>
      <c r="Y69" s="63">
        <v>12.5</v>
      </c>
      <c r="Z69" s="62">
        <v>13.7</v>
      </c>
      <c r="AA69" s="62">
        <v>13.2</v>
      </c>
      <c r="AB69" s="503">
        <f>SUM(X69:AA69)</f>
        <v>51.3</v>
      </c>
      <c r="AC69" s="249">
        <v>11.4</v>
      </c>
      <c r="AD69" s="249">
        <v>12.6</v>
      </c>
      <c r="AE69" s="249">
        <v>13.7</v>
      </c>
      <c r="AF69" s="249">
        <v>12.8</v>
      </c>
      <c r="AG69" s="503">
        <f t="shared" si="82"/>
        <v>50.5</v>
      </c>
      <c r="AH69" s="535">
        <v>11.7</v>
      </c>
      <c r="AI69" s="535">
        <v>12.8</v>
      </c>
      <c r="AJ69" s="298">
        <v>14.1</v>
      </c>
      <c r="AK69" s="298">
        <v>13.3</v>
      </c>
      <c r="AL69" s="503">
        <f t="shared" si="83"/>
        <v>51.900000000000006</v>
      </c>
      <c r="AM69" s="298">
        <v>12.4</v>
      </c>
      <c r="AN69" s="179">
        <v>14.2</v>
      </c>
      <c r="AO69" s="179">
        <v>14</v>
      </c>
      <c r="AP69" s="179">
        <v>14.4</v>
      </c>
      <c r="AQ69" s="503">
        <f t="shared" si="84"/>
        <v>55</v>
      </c>
      <c r="AR69" s="179">
        <v>12.9</v>
      </c>
      <c r="AS69" s="179">
        <v>13.6</v>
      </c>
      <c r="AT69" s="179">
        <v>13.6</v>
      </c>
      <c r="AU69" s="179">
        <v>14.6</v>
      </c>
      <c r="AV69" s="503">
        <f t="shared" si="85"/>
        <v>54.7</v>
      </c>
      <c r="AW69" s="249"/>
      <c r="AX69" s="249"/>
      <c r="AY69" s="249"/>
      <c r="AZ69" s="249"/>
      <c r="BA69" s="503"/>
      <c r="BB69" s="249"/>
      <c r="BC69" s="249"/>
      <c r="BD69" s="249"/>
      <c r="BE69" s="249"/>
      <c r="BF69" s="503"/>
      <c r="BG69" s="249"/>
      <c r="BH69" s="249"/>
      <c r="BI69" s="249"/>
      <c r="BJ69" s="249"/>
      <c r="BK69" s="503"/>
      <c r="BL69" s="249"/>
      <c r="BM69" s="249"/>
      <c r="BN69" s="249"/>
      <c r="BO69" s="249"/>
      <c r="BP69" s="503"/>
      <c r="BQ69" s="249"/>
      <c r="BR69" s="249"/>
      <c r="BS69" s="249"/>
      <c r="BT69" s="249"/>
      <c r="BU69" s="503"/>
      <c r="CK69" s="707"/>
    </row>
    <row r="70" spans="1:97" x14ac:dyDescent="0.2">
      <c r="A70" s="2" t="s">
        <v>122</v>
      </c>
      <c r="B70" s="2"/>
      <c r="C70" s="270"/>
      <c r="D70" s="63"/>
      <c r="E70" s="63"/>
      <c r="F70" s="62"/>
      <c r="G70" s="63"/>
      <c r="H70" s="503"/>
      <c r="I70" s="62">
        <v>11.7</v>
      </c>
      <c r="J70" s="63">
        <v>12.5</v>
      </c>
      <c r="K70" s="62">
        <v>13.7</v>
      </c>
      <c r="L70" s="62">
        <v>13.2</v>
      </c>
      <c r="M70" s="503"/>
      <c r="N70" s="63"/>
      <c r="O70" s="63">
        <v>11.9</v>
      </c>
      <c r="P70" s="63">
        <v>12.2</v>
      </c>
      <c r="Q70" s="63">
        <v>11.6</v>
      </c>
      <c r="R70" s="503">
        <v>46.9</v>
      </c>
      <c r="S70" s="63">
        <v>11.2</v>
      </c>
      <c r="T70" s="63">
        <v>12.4</v>
      </c>
      <c r="U70" s="62">
        <v>12.8</v>
      </c>
      <c r="V70" s="63">
        <v>12.3</v>
      </c>
      <c r="W70" s="503">
        <f t="shared" si="80"/>
        <v>48.7</v>
      </c>
      <c r="X70" s="62">
        <v>11.7</v>
      </c>
      <c r="Y70" s="63">
        <v>12.5</v>
      </c>
      <c r="Z70" s="62">
        <v>13.7</v>
      </c>
      <c r="AA70" s="62">
        <v>13.2</v>
      </c>
      <c r="AB70" s="503">
        <v>51</v>
      </c>
      <c r="AC70" s="249">
        <f>+AC69</f>
        <v>11.4</v>
      </c>
      <c r="AD70" s="249">
        <f>+AD69</f>
        <v>12.6</v>
      </c>
      <c r="AE70" s="249">
        <v>13.7</v>
      </c>
      <c r="AF70" s="249">
        <v>12.8</v>
      </c>
      <c r="AG70" s="503">
        <f t="shared" si="82"/>
        <v>50.5</v>
      </c>
      <c r="AH70" s="535">
        <f>+AH69</f>
        <v>11.7</v>
      </c>
      <c r="AI70" s="535">
        <f>+AI69</f>
        <v>12.8</v>
      </c>
      <c r="AJ70" s="298">
        <v>13.8</v>
      </c>
      <c r="AK70" s="298">
        <v>13</v>
      </c>
      <c r="AL70" s="503">
        <f t="shared" si="83"/>
        <v>51.3</v>
      </c>
      <c r="AM70" s="298">
        <v>12.1</v>
      </c>
      <c r="AN70" s="179">
        <v>14</v>
      </c>
      <c r="AO70" s="179">
        <v>13.9</v>
      </c>
      <c r="AP70" s="179">
        <v>14.2</v>
      </c>
      <c r="AQ70" s="503">
        <f t="shared" si="84"/>
        <v>54.2</v>
      </c>
      <c r="AR70" s="179">
        <v>12.8</v>
      </c>
      <c r="AS70" s="179">
        <v>13.5</v>
      </c>
      <c r="AT70" s="179">
        <v>13.5</v>
      </c>
      <c r="AU70" s="179">
        <v>14.6</v>
      </c>
      <c r="AV70" s="503">
        <f t="shared" si="85"/>
        <v>54.4</v>
      </c>
      <c r="AW70" s="249"/>
      <c r="AX70" s="249"/>
      <c r="AY70" s="249"/>
      <c r="AZ70" s="249"/>
      <c r="BA70" s="503"/>
      <c r="BB70" s="249"/>
      <c r="BC70" s="249"/>
      <c r="BD70" s="249"/>
      <c r="BE70" s="249"/>
      <c r="BF70" s="503"/>
      <c r="BG70" s="249"/>
      <c r="BH70" s="249"/>
      <c r="BI70" s="249"/>
      <c r="BJ70" s="249"/>
      <c r="BK70" s="503"/>
      <c r="BL70" s="249"/>
      <c r="BM70" s="249"/>
      <c r="BN70" s="249"/>
      <c r="BO70" s="249"/>
      <c r="BP70" s="503"/>
      <c r="BQ70" s="249"/>
      <c r="BR70" s="249"/>
      <c r="BS70" s="249"/>
      <c r="BT70" s="249"/>
      <c r="BU70" s="503"/>
    </row>
    <row r="71" spans="1:97" x14ac:dyDescent="0.2">
      <c r="A71" s="2" t="s">
        <v>27</v>
      </c>
      <c r="B71" s="2"/>
      <c r="C71" s="270"/>
      <c r="D71" s="63"/>
      <c r="E71" s="63"/>
      <c r="F71" s="62"/>
      <c r="G71" s="63"/>
      <c r="H71" s="503"/>
      <c r="I71" s="62">
        <v>8.1999999999999993</v>
      </c>
      <c r="J71" s="63">
        <v>8.9</v>
      </c>
      <c r="K71" s="62">
        <v>9.6</v>
      </c>
      <c r="L71" s="62">
        <v>9.1999999999999993</v>
      </c>
      <c r="M71" s="503">
        <v>30.9</v>
      </c>
      <c r="N71" s="63">
        <v>7.4</v>
      </c>
      <c r="O71" s="63">
        <v>7.7</v>
      </c>
      <c r="P71" s="63">
        <v>8.3000000000000007</v>
      </c>
      <c r="Q71" s="63">
        <v>7.7</v>
      </c>
      <c r="R71" s="503">
        <f>SUM(N71:Q71)</f>
        <v>31.1</v>
      </c>
      <c r="S71" s="63">
        <v>7.6</v>
      </c>
      <c r="T71" s="63">
        <v>8.6</v>
      </c>
      <c r="U71" s="62">
        <v>9</v>
      </c>
      <c r="V71" s="63">
        <v>8.8000000000000007</v>
      </c>
      <c r="W71" s="503">
        <f t="shared" si="80"/>
        <v>34</v>
      </c>
      <c r="X71" s="62">
        <v>8.1999999999999993</v>
      </c>
      <c r="Y71" s="63">
        <v>8.9</v>
      </c>
      <c r="Z71" s="62">
        <v>9.6</v>
      </c>
      <c r="AA71" s="62">
        <v>9.1999999999999993</v>
      </c>
      <c r="AB71" s="503">
        <f t="shared" si="81"/>
        <v>35.900000000000006</v>
      </c>
      <c r="AC71" s="249">
        <v>8.1</v>
      </c>
      <c r="AD71" s="249">
        <v>8.6</v>
      </c>
      <c r="AE71" s="249">
        <v>9.8000000000000007</v>
      </c>
      <c r="AF71" s="249">
        <v>8.6999999999999993</v>
      </c>
      <c r="AG71" s="503">
        <f t="shared" si="82"/>
        <v>35.200000000000003</v>
      </c>
      <c r="AH71" s="535">
        <v>6.2</v>
      </c>
      <c r="AI71" s="535">
        <v>6.7</v>
      </c>
      <c r="AJ71" s="298">
        <v>7.4</v>
      </c>
      <c r="AK71" s="298">
        <v>7.5</v>
      </c>
      <c r="AL71" s="503">
        <f t="shared" si="83"/>
        <v>27.8</v>
      </c>
      <c r="AM71" s="298">
        <v>7.1</v>
      </c>
      <c r="AN71" s="179">
        <v>8.1999999999999993</v>
      </c>
      <c r="AO71" s="179">
        <v>8.1</v>
      </c>
      <c r="AP71" s="179">
        <v>8.6</v>
      </c>
      <c r="AQ71" s="503">
        <f t="shared" si="84"/>
        <v>32</v>
      </c>
      <c r="AR71" s="179">
        <v>7.8</v>
      </c>
      <c r="AS71" s="179">
        <v>8.4</v>
      </c>
      <c r="AT71" s="179">
        <v>8.5</v>
      </c>
      <c r="AU71" s="179">
        <v>8.9</v>
      </c>
      <c r="AV71" s="503">
        <f t="shared" si="85"/>
        <v>33.6</v>
      </c>
      <c r="AW71" s="249"/>
      <c r="AX71" s="249"/>
      <c r="AY71" s="249"/>
      <c r="AZ71" s="249"/>
      <c r="BA71" s="503"/>
      <c r="BB71" s="249"/>
      <c r="BC71" s="249"/>
      <c r="BD71" s="249"/>
      <c r="BE71" s="249"/>
      <c r="BF71" s="503"/>
      <c r="BG71" s="249"/>
      <c r="BH71" s="249"/>
      <c r="BI71" s="249"/>
      <c r="BJ71" s="249"/>
      <c r="BK71" s="503"/>
      <c r="BL71" s="249"/>
      <c r="BM71" s="249"/>
      <c r="BN71" s="249"/>
      <c r="BO71" s="249"/>
      <c r="BP71" s="503"/>
      <c r="BQ71" s="249"/>
      <c r="BR71" s="249"/>
      <c r="BS71" s="249"/>
      <c r="BT71" s="249"/>
      <c r="BU71" s="503"/>
      <c r="BY71" s="701"/>
    </row>
    <row r="72" spans="1:97" x14ac:dyDescent="0.2">
      <c r="A72" s="2" t="s">
        <v>123</v>
      </c>
      <c r="B72" s="2"/>
      <c r="C72" s="270"/>
      <c r="D72" s="63"/>
      <c r="E72" s="63"/>
      <c r="F72" s="62"/>
      <c r="G72" s="63"/>
      <c r="H72" s="503"/>
      <c r="I72" s="62">
        <v>8</v>
      </c>
      <c r="J72" s="63">
        <v>8.8000000000000007</v>
      </c>
      <c r="K72" s="62">
        <v>9.6</v>
      </c>
      <c r="L72" s="62">
        <v>9.1999999999999993</v>
      </c>
      <c r="M72" s="503"/>
      <c r="N72" s="63"/>
      <c r="O72" s="63">
        <v>7.7</v>
      </c>
      <c r="P72" s="63">
        <v>8.3000000000000007</v>
      </c>
      <c r="Q72" s="63">
        <v>7.7</v>
      </c>
      <c r="R72" s="503">
        <v>31.1</v>
      </c>
      <c r="S72" s="63">
        <v>7.6</v>
      </c>
      <c r="T72" s="63">
        <v>8.5</v>
      </c>
      <c r="U72" s="62">
        <v>8.8000000000000007</v>
      </c>
      <c r="V72" s="63">
        <v>8.6</v>
      </c>
      <c r="W72" s="503">
        <f t="shared" si="80"/>
        <v>33.5</v>
      </c>
      <c r="X72" s="62">
        <v>8</v>
      </c>
      <c r="Y72" s="63">
        <v>8.8000000000000007</v>
      </c>
      <c r="Z72" s="62">
        <v>9.6</v>
      </c>
      <c r="AA72" s="62">
        <v>9.1999999999999993</v>
      </c>
      <c r="AB72" s="503">
        <f t="shared" si="81"/>
        <v>35.599999999999994</v>
      </c>
      <c r="AC72" s="249">
        <f>+AC71</f>
        <v>8.1</v>
      </c>
      <c r="AD72" s="249">
        <v>8.6</v>
      </c>
      <c r="AE72" s="249">
        <v>9.8000000000000007</v>
      </c>
      <c r="AF72" s="249">
        <v>8.6999999999999993</v>
      </c>
      <c r="AG72" s="503">
        <f t="shared" si="82"/>
        <v>35.200000000000003</v>
      </c>
      <c r="AH72" s="298">
        <v>6.2</v>
      </c>
      <c r="AI72" s="298">
        <v>6.7</v>
      </c>
      <c r="AJ72" s="298">
        <v>7.1</v>
      </c>
      <c r="AK72" s="298">
        <v>7.2</v>
      </c>
      <c r="AL72" s="503">
        <f t="shared" si="83"/>
        <v>27.2</v>
      </c>
      <c r="AM72" s="298">
        <v>6.8</v>
      </c>
      <c r="AN72" s="179">
        <v>8</v>
      </c>
      <c r="AO72" s="179">
        <v>8.1</v>
      </c>
      <c r="AP72" s="179">
        <v>8.5</v>
      </c>
      <c r="AQ72" s="503">
        <f t="shared" si="84"/>
        <v>31.4</v>
      </c>
      <c r="AR72" s="179">
        <v>7.7</v>
      </c>
      <c r="AS72" s="179">
        <v>8.3000000000000007</v>
      </c>
      <c r="AT72" s="179">
        <v>8.5</v>
      </c>
      <c r="AU72" s="179">
        <v>8.9</v>
      </c>
      <c r="AV72" s="503">
        <f t="shared" si="85"/>
        <v>33.4</v>
      </c>
      <c r="AW72" s="249"/>
      <c r="AX72" s="249"/>
      <c r="AY72" s="249"/>
      <c r="AZ72" s="249"/>
      <c r="BA72" s="503"/>
      <c r="BB72" s="249"/>
      <c r="BC72" s="249"/>
      <c r="BD72" s="249"/>
      <c r="BE72" s="249"/>
      <c r="BF72" s="503"/>
      <c r="BG72" s="249"/>
      <c r="BH72" s="249"/>
      <c r="BI72" s="249"/>
      <c r="BJ72" s="249"/>
      <c r="BK72" s="503"/>
      <c r="BL72" s="249"/>
      <c r="BM72" s="249"/>
      <c r="BN72" s="249"/>
      <c r="BO72" s="249"/>
      <c r="BP72" s="503"/>
      <c r="BQ72" s="249"/>
      <c r="BR72" s="249"/>
      <c r="BS72" s="249"/>
      <c r="BT72" s="249"/>
      <c r="BU72" s="503"/>
      <c r="BY72" s="703"/>
    </row>
    <row r="73" spans="1:97" x14ac:dyDescent="0.2">
      <c r="A73" s="2"/>
      <c r="B73" s="2"/>
      <c r="C73" s="270"/>
      <c r="D73" s="63"/>
      <c r="E73" s="249"/>
      <c r="F73" s="249"/>
      <c r="G73" s="249"/>
      <c r="H73" s="503"/>
      <c r="I73" s="249"/>
      <c r="J73" s="249"/>
      <c r="K73" s="249"/>
      <c r="L73" s="249"/>
      <c r="M73" s="503"/>
      <c r="N73" s="63"/>
      <c r="O73" s="63"/>
      <c r="P73" s="63"/>
      <c r="Q73" s="63"/>
      <c r="R73" s="503"/>
      <c r="S73" s="63"/>
      <c r="T73" s="249"/>
      <c r="U73" s="249"/>
      <c r="V73" s="249"/>
      <c r="W73" s="536"/>
      <c r="X73" s="249"/>
      <c r="Y73" s="249"/>
      <c r="Z73" s="249"/>
      <c r="AA73" s="249"/>
      <c r="AB73" s="536"/>
      <c r="AC73" s="249"/>
      <c r="AD73" s="31"/>
      <c r="AE73" s="31"/>
      <c r="AF73" s="31"/>
      <c r="AG73" s="536"/>
      <c r="AH73" s="31"/>
      <c r="AI73" s="31"/>
      <c r="AJ73" s="31"/>
      <c r="AK73" s="31"/>
      <c r="AL73" s="536"/>
      <c r="AM73" s="31"/>
      <c r="AN73" s="299"/>
      <c r="AO73" s="31"/>
      <c r="AP73" s="31"/>
      <c r="AQ73" s="536"/>
      <c r="AR73" s="588"/>
      <c r="AS73" s="588"/>
      <c r="AT73" s="588"/>
      <c r="AU73" s="249"/>
      <c r="AV73" s="536"/>
      <c r="AW73" s="249"/>
      <c r="AX73" s="249"/>
      <c r="AY73" s="249"/>
      <c r="AZ73" s="249"/>
      <c r="BA73" s="536"/>
      <c r="BB73" s="249"/>
      <c r="BC73" s="249"/>
      <c r="BD73" s="249"/>
      <c r="BE73" s="249"/>
      <c r="BF73" s="536"/>
      <c r="BG73" s="249"/>
      <c r="BH73" s="249"/>
      <c r="BI73" s="249"/>
      <c r="BJ73" s="249"/>
      <c r="BK73" s="536"/>
      <c r="BL73" s="249"/>
      <c r="BM73" s="249"/>
      <c r="BN73" s="249"/>
      <c r="BO73" s="249"/>
      <c r="BP73" s="536"/>
      <c r="BQ73" s="249"/>
      <c r="BR73" s="249"/>
      <c r="BS73" s="249"/>
      <c r="BT73" s="249"/>
      <c r="BU73" s="536"/>
      <c r="CF73" s="642"/>
      <c r="CQ73" s="706"/>
    </row>
    <row r="74" spans="1:97" x14ac:dyDescent="0.2">
      <c r="A74" s="1" t="s">
        <v>31</v>
      </c>
      <c r="B74" s="2"/>
      <c r="C74" s="270"/>
      <c r="D74" s="249"/>
      <c r="E74" s="249"/>
      <c r="F74" s="249"/>
      <c r="G74" s="249"/>
      <c r="H74" s="503"/>
      <c r="I74" s="249"/>
      <c r="J74" s="249"/>
      <c r="K74" s="249"/>
      <c r="L74" s="249"/>
      <c r="M74" s="503"/>
      <c r="N74" s="54"/>
      <c r="O74" s="54"/>
      <c r="P74" s="54"/>
      <c r="Q74" s="54"/>
      <c r="R74" s="503"/>
      <c r="S74" s="249"/>
      <c r="T74" s="249"/>
      <c r="U74" s="249"/>
      <c r="V74" s="249"/>
      <c r="W74" s="503"/>
      <c r="X74" s="249"/>
      <c r="Y74" s="249"/>
      <c r="Z74" s="249"/>
      <c r="AA74" s="249"/>
      <c r="AB74" s="503"/>
      <c r="AC74" s="249"/>
      <c r="AD74" s="31"/>
      <c r="AE74" s="31"/>
      <c r="AF74" s="31"/>
      <c r="AG74" s="503"/>
      <c r="AH74" s="31"/>
      <c r="AI74" s="31"/>
      <c r="AJ74" s="31"/>
      <c r="AK74" s="31"/>
      <c r="AL74" s="503"/>
      <c r="AM74" s="31"/>
      <c r="AN74" s="31"/>
      <c r="AO74" s="31"/>
      <c r="AP74" s="31"/>
      <c r="AQ74" s="503"/>
      <c r="AR74" s="34"/>
      <c r="AS74" s="249"/>
      <c r="AT74" s="249"/>
      <c r="AU74" s="249"/>
      <c r="AV74" s="503"/>
      <c r="AW74" s="249"/>
      <c r="AX74" s="249"/>
      <c r="AY74" s="249"/>
      <c r="AZ74" s="249"/>
      <c r="BA74" s="503"/>
      <c r="BB74" s="249"/>
      <c r="BC74" s="249"/>
      <c r="BD74" s="249"/>
      <c r="BE74" s="249"/>
      <c r="BF74" s="503"/>
      <c r="BG74" s="249"/>
      <c r="BH74" s="249"/>
      <c r="BI74" s="249"/>
      <c r="BJ74" s="249"/>
      <c r="BK74" s="503"/>
      <c r="BL74" s="249"/>
      <c r="BM74" s="249"/>
      <c r="BN74" s="249"/>
      <c r="BO74" s="249"/>
      <c r="BP74" s="503"/>
      <c r="BQ74" s="249"/>
      <c r="BR74" s="249"/>
      <c r="BS74" s="249"/>
      <c r="BT74" s="249"/>
      <c r="BU74" s="503"/>
      <c r="BY74" s="642"/>
      <c r="BZ74" s="698"/>
      <c r="CB74" s="703"/>
      <c r="CE74" s="642"/>
      <c r="CF74" s="642"/>
      <c r="CG74" s="708"/>
      <c r="CP74" s="642"/>
      <c r="CQ74" s="703"/>
    </row>
    <row r="75" spans="1:97" x14ac:dyDescent="0.2">
      <c r="A75" s="2" t="s">
        <v>238</v>
      </c>
      <c r="B75" s="2"/>
      <c r="C75" s="270"/>
      <c r="D75" s="54"/>
      <c r="E75" s="54"/>
      <c r="F75" s="54"/>
      <c r="G75" s="54"/>
      <c r="H75" s="504"/>
      <c r="I75" s="54"/>
      <c r="J75" s="54"/>
      <c r="K75" s="54"/>
      <c r="L75" s="54"/>
      <c r="M75" s="504"/>
      <c r="N75" s="54">
        <f>N67/I67-1</f>
        <v>-5.7324840764331086E-2</v>
      </c>
      <c r="O75" s="370">
        <v>-1.8633540372670843E-2</v>
      </c>
      <c r="P75" s="54">
        <f t="shared" ref="P75:Z80" si="86">P67/K67-1</f>
        <v>-9.6045197740112997E-2</v>
      </c>
      <c r="Q75" s="54">
        <f t="shared" si="86"/>
        <v>-0.10119047619047628</v>
      </c>
      <c r="R75" s="504">
        <f t="shared" si="86"/>
        <v>-8.0128205128204844E-3</v>
      </c>
      <c r="S75" s="54">
        <f t="shared" si="86"/>
        <v>0</v>
      </c>
      <c r="T75" s="54">
        <f t="shared" si="86"/>
        <v>3.8216560509554132E-2</v>
      </c>
      <c r="U75" s="54">
        <f t="shared" si="86"/>
        <v>6.25E-2</v>
      </c>
      <c r="V75" s="54">
        <f>V67/15-1</f>
        <v>7.3333333333333472E-2</v>
      </c>
      <c r="W75" s="504">
        <f>W67/61.3-1</f>
        <v>4.7308319738988747E-2</v>
      </c>
      <c r="X75" s="54">
        <f t="shared" si="86"/>
        <v>6.0810810810810745E-2</v>
      </c>
      <c r="Y75" s="54">
        <f t="shared" si="86"/>
        <v>1.8404907975460238E-2</v>
      </c>
      <c r="Z75" s="54">
        <f t="shared" si="86"/>
        <v>4.1176470588235148E-2</v>
      </c>
      <c r="AA75" s="54">
        <f>AA67/V67-1</f>
        <v>4.3478260869565188E-2</v>
      </c>
      <c r="AB75" s="510">
        <f>AB67/W67-1</f>
        <v>4.049844236760114E-2</v>
      </c>
      <c r="AC75" s="54">
        <f>AC67/15.7-1</f>
        <v>-3.8216560509554132E-2</v>
      </c>
      <c r="AD75" s="54">
        <f>AD67/16.6-1</f>
        <v>1.2048192771084265E-2</v>
      </c>
      <c r="AE75" s="54">
        <f>AE67/17.7-1</f>
        <v>1.6949152542372836E-2</v>
      </c>
      <c r="AF75" s="54">
        <f>AF67/16.8-1</f>
        <v>-4.166666666666663E-2</v>
      </c>
      <c r="AG75" s="510">
        <f>AG67/AB67-1</f>
        <v>-1.19760479041916E-2</v>
      </c>
      <c r="AH75" s="54">
        <f>AH67/15.1-1</f>
        <v>3.9735099337748325E-2</v>
      </c>
      <c r="AI75" s="54">
        <f>AI67/16.8-1</f>
        <v>1.1904761904761862E-2</v>
      </c>
      <c r="AJ75" s="54">
        <f>AJ67/18-1</f>
        <v>2.2222222222222143E-2</v>
      </c>
      <c r="AK75" s="54">
        <f>AK67/16.1-1</f>
        <v>6.211180124223592E-2</v>
      </c>
      <c r="AL75" s="510">
        <f t="shared" ref="AL75:AQ75" si="87">AL67/AG67-1</f>
        <v>3.3333333333333437E-2</v>
      </c>
      <c r="AM75" s="54">
        <f t="shared" si="87"/>
        <v>4.4585987261146487E-2</v>
      </c>
      <c r="AN75" s="54">
        <f t="shared" si="87"/>
        <v>7.0588235294117618E-2</v>
      </c>
      <c r="AO75" s="54">
        <f t="shared" si="87"/>
        <v>-5.4347826086955653E-3</v>
      </c>
      <c r="AP75" s="54">
        <f t="shared" si="87"/>
        <v>-4.6783625730994149E-2</v>
      </c>
      <c r="AQ75" s="510">
        <f t="shared" si="87"/>
        <v>1.4662756598240234E-2</v>
      </c>
      <c r="AR75" s="54">
        <f>AR67/AM67-1</f>
        <v>-0.15243902439024382</v>
      </c>
      <c r="AS75" s="610">
        <f>AS67/AN67-1</f>
        <v>-0.19230769230769229</v>
      </c>
      <c r="AT75" s="620">
        <f>AT67/AO67-1</f>
        <v>-0.19125683060109289</v>
      </c>
      <c r="AU75" s="623">
        <f>AU67/AP67-1</f>
        <v>-4.2944785276073705E-2</v>
      </c>
      <c r="AV75" s="510">
        <f>AV67/AQ67-1</f>
        <v>-0.14739884393063563</v>
      </c>
      <c r="AW75" s="249"/>
      <c r="AX75" s="249"/>
      <c r="AY75" s="249"/>
      <c r="AZ75" s="249"/>
      <c r="BA75" s="510"/>
      <c r="BB75" s="249"/>
      <c r="BC75" s="249"/>
      <c r="BD75" s="249"/>
      <c r="BE75" s="249"/>
      <c r="BF75" s="510"/>
      <c r="BG75" s="249"/>
      <c r="BH75" s="249"/>
      <c r="BI75" s="249"/>
      <c r="BJ75" s="249"/>
      <c r="BK75" s="510"/>
      <c r="BL75" s="249"/>
      <c r="BM75" s="249"/>
      <c r="BN75" s="249"/>
      <c r="BO75" s="249"/>
      <c r="BP75" s="510"/>
      <c r="BQ75" s="249"/>
      <c r="BR75" s="249"/>
      <c r="BS75" s="249"/>
      <c r="BT75" s="249"/>
      <c r="BU75" s="510"/>
      <c r="BY75" s="642"/>
      <c r="BZ75" s="698"/>
      <c r="CB75" s="703"/>
      <c r="CE75" s="642"/>
      <c r="CF75" s="642"/>
      <c r="CG75" s="708"/>
      <c r="CP75" s="642"/>
      <c r="CQ75" s="703"/>
    </row>
    <row r="76" spans="1:97" x14ac:dyDescent="0.2">
      <c r="A76" s="3" t="s">
        <v>239</v>
      </c>
      <c r="B76" s="3"/>
      <c r="C76" s="288"/>
      <c r="D76" s="71"/>
      <c r="E76" s="71"/>
      <c r="F76" s="71"/>
      <c r="G76" s="71"/>
      <c r="H76" s="505"/>
      <c r="I76" s="71">
        <f>I68/14.8-1</f>
        <v>4.7297297297297147E-2</v>
      </c>
      <c r="J76" s="71">
        <f>J68/16.3-1</f>
        <v>1.2269938650306678E-2</v>
      </c>
      <c r="K76" s="71">
        <f>K68/17-1</f>
        <v>4.1176470588235148E-2</v>
      </c>
      <c r="L76" s="71">
        <f>L68/16.1-1</f>
        <v>4.3478260869565188E-2</v>
      </c>
      <c r="M76" s="505"/>
      <c r="N76" s="71"/>
      <c r="O76" s="226">
        <v>-3.6585365853658458E-2</v>
      </c>
      <c r="P76" s="71">
        <f t="shared" si="86"/>
        <v>-9.6045197740112997E-2</v>
      </c>
      <c r="Q76" s="71">
        <f t="shared" si="86"/>
        <v>-0.10714285714285721</v>
      </c>
      <c r="R76" s="505">
        <f t="shared" si="86"/>
        <v>-2.8301886792452935E-2</v>
      </c>
      <c r="S76" s="71">
        <f>S68/N68-1</f>
        <v>-2.6490066225165476E-2</v>
      </c>
      <c r="T76" s="71">
        <f>T68/O68-1</f>
        <v>2.5477707006369643E-2</v>
      </c>
      <c r="U76" s="71">
        <f>U68/P68-1</f>
        <v>4.3749999999999956E-2</v>
      </c>
      <c r="V76" s="71">
        <f>V68/15-1</f>
        <v>5.3333333333333455E-2</v>
      </c>
      <c r="W76" s="505">
        <f>W68/61.3-1</f>
        <v>3.2626427406198921E-2</v>
      </c>
      <c r="X76" s="71">
        <f>X68/14.8-1</f>
        <v>4.7297297297297147E-2</v>
      </c>
      <c r="Y76" s="71">
        <f>Y68/16.3-1</f>
        <v>1.2269938650306678E-2</v>
      </c>
      <c r="Z76" s="71">
        <f>Z68/17-1</f>
        <v>4.1176470588235148E-2</v>
      </c>
      <c r="AA76" s="71">
        <f>AA68/16.1-1</f>
        <v>4.3478260869565188E-2</v>
      </c>
      <c r="AB76" s="511">
        <f>AB68/64.2-1</f>
        <v>3.5825545171339623E-2</v>
      </c>
      <c r="AC76" s="289"/>
      <c r="AD76" s="289"/>
      <c r="AE76" s="289"/>
      <c r="AF76" s="289"/>
      <c r="AG76" s="511"/>
      <c r="AH76" s="54">
        <f>AH68/15.1-1</f>
        <v>3.9735099337748325E-2</v>
      </c>
      <c r="AI76" s="54">
        <f>AI68/16.8-1</f>
        <v>1.1904761904761862E-2</v>
      </c>
      <c r="AJ76" s="54">
        <f>AJ68/18-1</f>
        <v>5.5555555555555358E-3</v>
      </c>
      <c r="AK76" s="54">
        <f>AK68/16.1-1</f>
        <v>4.3478260869565188E-2</v>
      </c>
      <c r="AL76" s="511">
        <f t="shared" ref="AL76:AN78" si="88">AL68/AG68-1</f>
        <v>2.4242424242424399E-2</v>
      </c>
      <c r="AM76" s="54">
        <f t="shared" si="88"/>
        <v>2.5477707006369643E-2</v>
      </c>
      <c r="AN76" s="54">
        <f t="shared" si="88"/>
        <v>5.8823529411764719E-2</v>
      </c>
      <c r="AO76" s="54">
        <f>AO68/18.4-1</f>
        <v>-1.0869565217391242E-2</v>
      </c>
      <c r="AP76" s="54">
        <f>AP68/15.1-1</f>
        <v>6.6225165562914023E-2</v>
      </c>
      <c r="AQ76" s="511">
        <f>AQ68/66.2-1</f>
        <v>3.3232628398791597E-2</v>
      </c>
      <c r="AR76" s="54">
        <f>AR68/13.6-1</f>
        <v>7.3529411764705621E-3</v>
      </c>
      <c r="AS76" s="610">
        <f>AS68/14.8-1</f>
        <v>-1.3513513513513598E-2</v>
      </c>
      <c r="AT76" s="620">
        <f>AT68/15.2-1</f>
        <v>-3.289473684210531E-2</v>
      </c>
      <c r="AU76" s="623">
        <f>AU68/15.7-1</f>
        <v>-6.3694267515923553E-3</v>
      </c>
      <c r="AV76" s="511">
        <f>AV68/59.3-1</f>
        <v>-1.1804384485666009E-2</v>
      </c>
      <c r="AW76" s="289"/>
      <c r="AX76" s="289"/>
      <c r="AY76" s="289"/>
      <c r="AZ76" s="289"/>
      <c r="BA76" s="511"/>
      <c r="BB76" s="289"/>
      <c r="BC76" s="289"/>
      <c r="BD76" s="289"/>
      <c r="BE76" s="289"/>
      <c r="BF76" s="511"/>
      <c r="BG76" s="289"/>
      <c r="BH76" s="289"/>
      <c r="BI76" s="289"/>
      <c r="BJ76" s="289"/>
      <c r="BK76" s="511"/>
      <c r="BL76" s="289"/>
      <c r="BM76" s="289"/>
      <c r="BN76" s="289"/>
      <c r="BO76" s="289"/>
      <c r="BP76" s="511"/>
      <c r="BQ76" s="289"/>
      <c r="BR76" s="289"/>
      <c r="BS76" s="289"/>
      <c r="BT76" s="289"/>
      <c r="BU76" s="511"/>
      <c r="BY76" s="642"/>
      <c r="CB76" s="703"/>
    </row>
    <row r="77" spans="1:97" x14ac:dyDescent="0.2">
      <c r="A77" s="2" t="s">
        <v>26</v>
      </c>
      <c r="B77" s="2"/>
      <c r="C77" s="270"/>
      <c r="D77" s="54"/>
      <c r="E77" s="54"/>
      <c r="F77" s="54"/>
      <c r="G77" s="54"/>
      <c r="H77" s="504"/>
      <c r="I77" s="54"/>
      <c r="J77" s="54"/>
      <c r="K77" s="54"/>
      <c r="L77" s="54"/>
      <c r="M77" s="504"/>
      <c r="N77" s="54">
        <f>N69/I69-1</f>
        <v>-5.882352941176483E-2</v>
      </c>
      <c r="O77" s="54">
        <f>O69/J69-1</f>
        <v>-4.7999999999999932E-2</v>
      </c>
      <c r="P77" s="54">
        <f t="shared" si="86"/>
        <v>-0.10948905109489049</v>
      </c>
      <c r="Q77" s="54">
        <f t="shared" si="86"/>
        <v>-0.12121212121212122</v>
      </c>
      <c r="R77" s="504">
        <f t="shared" si="86"/>
        <v>-3.8934426229508157E-2</v>
      </c>
      <c r="S77" s="54">
        <f t="shared" si="86"/>
        <v>0</v>
      </c>
      <c r="T77" s="54">
        <f t="shared" si="86"/>
        <v>5.0420168067226934E-2</v>
      </c>
      <c r="U77" s="54">
        <f t="shared" si="86"/>
        <v>6.5573770491803351E-2</v>
      </c>
      <c r="V77" s="54">
        <f>V69/Q69-1</f>
        <v>8.6206896551724199E-2</v>
      </c>
      <c r="W77" s="504">
        <f>W69/R69-1</f>
        <v>5.1172707889125979E-2</v>
      </c>
      <c r="X77" s="54">
        <f t="shared" si="86"/>
        <v>6.25E-2</v>
      </c>
      <c r="Y77" s="54">
        <f t="shared" si="86"/>
        <v>0</v>
      </c>
      <c r="Z77" s="54">
        <f t="shared" si="86"/>
        <v>5.3846153846153877E-2</v>
      </c>
      <c r="AA77" s="54">
        <f>AA69/V69-1</f>
        <v>4.7619047619047672E-2</v>
      </c>
      <c r="AB77" s="510">
        <f>AB69/W69-1</f>
        <v>4.0567951318458251E-2</v>
      </c>
      <c r="AC77" s="54">
        <f>AC69/11.9-1</f>
        <v>-4.2016806722689037E-2</v>
      </c>
      <c r="AD77" s="54">
        <f>AD69/12.5-1</f>
        <v>8.0000000000000071E-3</v>
      </c>
      <c r="AE77" s="54">
        <f>AE69/13.7-1</f>
        <v>0</v>
      </c>
      <c r="AF77" s="54">
        <f>AF69/13.2-1</f>
        <v>-3.0303030303030165E-2</v>
      </c>
      <c r="AG77" s="510">
        <f>AG69/AB69-1</f>
        <v>-1.5594541910331383E-2</v>
      </c>
      <c r="AH77" s="54">
        <f>AH69/11.4-1</f>
        <v>2.631578947368407E-2</v>
      </c>
      <c r="AI77" s="54">
        <f>AI69/12.6-1</f>
        <v>1.5873015873016039E-2</v>
      </c>
      <c r="AJ77" s="54">
        <f>AJ69/13.7-1</f>
        <v>2.9197080291970767E-2</v>
      </c>
      <c r="AK77" s="54">
        <f>AK69/12.8-1</f>
        <v>3.90625E-2</v>
      </c>
      <c r="AL77" s="510">
        <f t="shared" si="88"/>
        <v>2.7722772277227747E-2</v>
      </c>
      <c r="AM77" s="54">
        <f t="shared" si="88"/>
        <v>5.9829059829059839E-2</v>
      </c>
      <c r="AN77" s="54">
        <f t="shared" si="88"/>
        <v>0.10937499999999978</v>
      </c>
      <c r="AO77" s="54">
        <f t="shared" ref="AO77:AT77" si="89">AO69/AJ69-1</f>
        <v>-7.0921985815602939E-3</v>
      </c>
      <c r="AP77" s="54">
        <f t="shared" si="89"/>
        <v>8.2706766917293173E-2</v>
      </c>
      <c r="AQ77" s="510">
        <f t="shared" si="89"/>
        <v>5.9730250481695446E-2</v>
      </c>
      <c r="AR77" s="54">
        <f t="shared" si="89"/>
        <v>4.0322580645161255E-2</v>
      </c>
      <c r="AS77" s="610">
        <f t="shared" si="89"/>
        <v>-4.2253521126760507E-2</v>
      </c>
      <c r="AT77" s="620">
        <f t="shared" si="89"/>
        <v>-2.8571428571428581E-2</v>
      </c>
      <c r="AU77" s="623">
        <f>AU69/AP69-1</f>
        <v>1.388888888888884E-2</v>
      </c>
      <c r="AV77" s="510">
        <f>AV69/AQ69-1</f>
        <v>-5.4545454545453786E-3</v>
      </c>
      <c r="AW77" s="249"/>
      <c r="AX77" s="249"/>
      <c r="AY77" s="249"/>
      <c r="AZ77" s="249"/>
      <c r="BA77" s="510"/>
      <c r="BB77" s="249"/>
      <c r="BC77" s="249"/>
      <c r="BD77" s="249"/>
      <c r="BE77" s="249"/>
      <c r="BF77" s="510"/>
      <c r="BG77" s="249"/>
      <c r="BH77" s="249"/>
      <c r="BI77" s="249"/>
      <c r="BJ77" s="249"/>
      <c r="BK77" s="510"/>
      <c r="BL77" s="249"/>
      <c r="BM77" s="249"/>
      <c r="BN77" s="249"/>
      <c r="BO77" s="249"/>
      <c r="BP77" s="510"/>
      <c r="BQ77" s="249"/>
      <c r="BR77" s="249"/>
      <c r="BS77" s="249"/>
      <c r="BT77" s="249"/>
      <c r="BU77" s="510"/>
      <c r="BZ77" s="700"/>
      <c r="CB77" s="703"/>
      <c r="CE77" s="642"/>
      <c r="CG77" s="713"/>
      <c r="CH77" s="707"/>
      <c r="CJ77" s="706"/>
    </row>
    <row r="78" spans="1:97" x14ac:dyDescent="0.2">
      <c r="A78" s="2" t="str">
        <f>A70</f>
        <v>US Domestic Organic Shipment Volume</v>
      </c>
      <c r="B78" s="2"/>
      <c r="C78" s="270"/>
      <c r="D78" s="54"/>
      <c r="E78" s="54"/>
      <c r="F78" s="54"/>
      <c r="G78" s="54"/>
      <c r="H78" s="504"/>
      <c r="I78" s="54"/>
      <c r="J78" s="54"/>
      <c r="K78" s="54"/>
      <c r="L78" s="54"/>
      <c r="M78" s="504"/>
      <c r="N78" s="54"/>
      <c r="O78" s="54"/>
      <c r="P78" s="54"/>
      <c r="Q78" s="54"/>
      <c r="R78" s="504"/>
      <c r="S78" s="54"/>
      <c r="T78" s="54">
        <f t="shared" si="86"/>
        <v>4.2016806722689148E-2</v>
      </c>
      <c r="U78" s="54">
        <f t="shared" si="86"/>
        <v>4.9180327868852514E-2</v>
      </c>
      <c r="V78" s="54">
        <f t="shared" si="86"/>
        <v>6.0344827586207073E-2</v>
      </c>
      <c r="W78" s="504">
        <f t="shared" si="86"/>
        <v>3.8379530916844429E-2</v>
      </c>
      <c r="X78" s="54">
        <f t="shared" si="86"/>
        <v>4.4642857142857206E-2</v>
      </c>
      <c r="Y78" s="54">
        <f>Y70/12.5-1</f>
        <v>0</v>
      </c>
      <c r="Z78" s="54">
        <f>Z70/13-1</f>
        <v>5.3846153846153877E-2</v>
      </c>
      <c r="AA78" s="54">
        <f>AA70/12.6-1</f>
        <v>4.7619047619047672E-2</v>
      </c>
      <c r="AB78" s="510">
        <f>AB70/49.3-1</f>
        <v>3.4482758620689724E-2</v>
      </c>
      <c r="AC78" s="249"/>
      <c r="AD78" s="249"/>
      <c r="AE78" s="249"/>
      <c r="AF78" s="249"/>
      <c r="AG78" s="510"/>
      <c r="AH78" s="54">
        <f>AH70/11.4-1</f>
        <v>2.631578947368407E-2</v>
      </c>
      <c r="AI78" s="54">
        <f>AI70/12.6-1</f>
        <v>1.5873015873016039E-2</v>
      </c>
      <c r="AJ78" s="54">
        <f>AJ70/13.7-1</f>
        <v>7.2992700729928028E-3</v>
      </c>
      <c r="AK78" s="54">
        <f>AK70/12.8-1</f>
        <v>1.5625E-2</v>
      </c>
      <c r="AL78" s="510">
        <f t="shared" si="88"/>
        <v>1.5841584158415856E-2</v>
      </c>
      <c r="AM78" s="54">
        <f t="shared" si="88"/>
        <v>3.4188034188034289E-2</v>
      </c>
      <c r="AN78" s="54">
        <f t="shared" si="88"/>
        <v>9.375E-2</v>
      </c>
      <c r="AO78" s="54">
        <f>AO70/14.1-1</f>
        <v>-1.4184397163120477E-2</v>
      </c>
      <c r="AP78" s="54">
        <f>AP70/13.3-1</f>
        <v>6.7669172932330657E-2</v>
      </c>
      <c r="AQ78" s="510">
        <f>AQ70/51.9-1</f>
        <v>4.4315992292871087E-2</v>
      </c>
      <c r="AR78" s="54">
        <f>AR70/12.4-1</f>
        <v>3.2258064516129004E-2</v>
      </c>
      <c r="AS78" s="610">
        <f>AS70/14.2-1</f>
        <v>-4.9295774647887258E-2</v>
      </c>
      <c r="AT78" s="620">
        <f>AT70/14-1</f>
        <v>-3.5714285714285698E-2</v>
      </c>
      <c r="AU78" s="623">
        <f>AU70/14.4-1</f>
        <v>1.388888888888884E-2</v>
      </c>
      <c r="AV78" s="510">
        <f>AV70/55-1</f>
        <v>-1.0909090909090979E-2</v>
      </c>
      <c r="AW78" s="249"/>
      <c r="AX78" s="249"/>
      <c r="AY78" s="249"/>
      <c r="AZ78" s="249"/>
      <c r="BA78" s="510"/>
      <c r="BB78" s="249"/>
      <c r="BC78" s="249"/>
      <c r="BD78" s="249"/>
      <c r="BE78" s="249"/>
      <c r="BF78" s="510"/>
      <c r="BG78" s="249"/>
      <c r="BH78" s="249"/>
      <c r="BI78" s="249"/>
      <c r="BJ78" s="249"/>
      <c r="BK78" s="510"/>
      <c r="BL78" s="249"/>
      <c r="BM78" s="249"/>
      <c r="BN78" s="249"/>
      <c r="BO78" s="249"/>
      <c r="BP78" s="510"/>
      <c r="BQ78" s="249"/>
      <c r="BR78" s="249"/>
      <c r="BS78" s="249"/>
      <c r="BT78" s="249"/>
      <c r="BU78" s="510"/>
      <c r="BZ78" s="700"/>
      <c r="CB78" s="705"/>
      <c r="CE78" s="642"/>
      <c r="CH78" s="707"/>
    </row>
    <row r="79" spans="1:97" x14ac:dyDescent="0.2">
      <c r="A79" s="2" t="s">
        <v>27</v>
      </c>
      <c r="B79" s="2"/>
      <c r="C79" s="270"/>
      <c r="D79" s="54"/>
      <c r="E79" s="54"/>
      <c r="F79" s="54"/>
      <c r="G79" s="54"/>
      <c r="H79" s="504"/>
      <c r="I79" s="54"/>
      <c r="J79" s="54"/>
      <c r="K79" s="54"/>
      <c r="L79" s="54"/>
      <c r="M79" s="504"/>
      <c r="N79" s="54">
        <f t="shared" ref="N79:S79" si="90">N71/I71-1</f>
        <v>-9.7560975609755962E-2</v>
      </c>
      <c r="O79" s="54">
        <f t="shared" si="90"/>
        <v>-0.1348314606741573</v>
      </c>
      <c r="P79" s="54">
        <f t="shared" si="90"/>
        <v>-0.13541666666666652</v>
      </c>
      <c r="Q79" s="54">
        <f t="shared" si="90"/>
        <v>-0.16304347826086951</v>
      </c>
      <c r="R79" s="504">
        <f t="shared" si="90"/>
        <v>6.4724919093852584E-3</v>
      </c>
      <c r="S79" s="54">
        <f t="shared" si="90"/>
        <v>2.7027027027026973E-2</v>
      </c>
      <c r="T79" s="54">
        <f t="shared" si="86"/>
        <v>0.11688311688311681</v>
      </c>
      <c r="U79" s="54">
        <f t="shared" si="86"/>
        <v>8.43373493975903E-2</v>
      </c>
      <c r="V79" s="54">
        <f t="shared" si="86"/>
        <v>0.14285714285714302</v>
      </c>
      <c r="W79" s="504">
        <f t="shared" si="86"/>
        <v>9.3247588424437255E-2</v>
      </c>
      <c r="X79" s="54">
        <f t="shared" si="86"/>
        <v>7.8947368421052655E-2</v>
      </c>
      <c r="Y79" s="54">
        <f t="shared" si="86"/>
        <v>3.488372093023262E-2</v>
      </c>
      <c r="Z79" s="54">
        <f t="shared" si="86"/>
        <v>6.6666666666666652E-2</v>
      </c>
      <c r="AA79" s="54">
        <f>AA71/V71-1</f>
        <v>4.5454545454545192E-2</v>
      </c>
      <c r="AB79" s="510">
        <f>AB71/W71-1</f>
        <v>5.5882352941176716E-2</v>
      </c>
      <c r="AC79" s="54">
        <f>AC71/8.2-1</f>
        <v>-1.2195121951219523E-2</v>
      </c>
      <c r="AD79" s="54">
        <f>AD71/8.9-1</f>
        <v>-3.3707865168539408E-2</v>
      </c>
      <c r="AE79" s="54">
        <f>AE71/9.6-1</f>
        <v>2.0833333333333481E-2</v>
      </c>
      <c r="AF79" s="54">
        <f>AF71/9.2-1</f>
        <v>-5.4347826086956541E-2</v>
      </c>
      <c r="AG79" s="510">
        <f>AG71/AB71-1</f>
        <v>-1.9498607242339872E-2</v>
      </c>
      <c r="AH79" s="54">
        <f>+AH71/5.9-1</f>
        <v>5.0847457627118509E-2</v>
      </c>
      <c r="AI79" s="54">
        <f>AI71/6.3-1</f>
        <v>6.3492063492063489E-2</v>
      </c>
      <c r="AJ79" s="54">
        <f>AJ71/7.1-1</f>
        <v>4.2253521126760729E-2</v>
      </c>
      <c r="AK79" s="54">
        <f>AK71/6.3-1</f>
        <v>0.19047619047619047</v>
      </c>
      <c r="AL79" s="510">
        <f>AL71/25.6-1</f>
        <v>8.59375E-2</v>
      </c>
      <c r="AM79" s="54">
        <f>AM71/6.3-1</f>
        <v>0.12698412698412698</v>
      </c>
      <c r="AN79" s="54">
        <f>AN71/6.9-1</f>
        <v>0.188405797101449</v>
      </c>
      <c r="AO79" s="54">
        <f>AO71/7.6-1</f>
        <v>6.578947368421062E-2</v>
      </c>
      <c r="AP79" s="54">
        <f>AP71/7.6-1</f>
        <v>0.13157894736842102</v>
      </c>
      <c r="AQ79" s="510">
        <f>AQ71/28.4-1</f>
        <v>0.12676056338028174</v>
      </c>
      <c r="AR79" s="54">
        <f>AR71/7.1-1</f>
        <v>9.8591549295774739E-2</v>
      </c>
      <c r="AS79" s="610">
        <f>AS71/8.2-1</f>
        <v>2.4390243902439046E-2</v>
      </c>
      <c r="AT79" s="620">
        <f>AT71/8.1-1</f>
        <v>4.9382716049382713E-2</v>
      </c>
      <c r="AU79" s="623">
        <f>AU71/8.4-1</f>
        <v>5.9523809523809534E-2</v>
      </c>
      <c r="AV79" s="510">
        <f>AV71/31.8-1</f>
        <v>5.6603773584905648E-2</v>
      </c>
      <c r="AW79" s="249"/>
      <c r="AX79" s="249"/>
      <c r="AY79" s="249"/>
      <c r="AZ79" s="249"/>
      <c r="BA79" s="510"/>
      <c r="BB79" s="249"/>
      <c r="BC79" s="249"/>
      <c r="BD79" s="249"/>
      <c r="BE79" s="249"/>
      <c r="BF79" s="510"/>
      <c r="BG79" s="249"/>
      <c r="BH79" s="249"/>
      <c r="BI79" s="249"/>
      <c r="BJ79" s="249"/>
      <c r="BK79" s="510"/>
      <c r="BL79" s="249"/>
      <c r="BM79" s="249"/>
      <c r="BN79" s="249"/>
      <c r="BO79" s="249"/>
      <c r="BP79" s="510"/>
      <c r="BQ79" s="249"/>
      <c r="BR79" s="249"/>
      <c r="BS79" s="249"/>
      <c r="BT79" s="249"/>
      <c r="BU79" s="510"/>
      <c r="BZ79" s="700"/>
      <c r="CB79" s="705"/>
      <c r="CG79" s="706"/>
      <c r="CH79" s="706"/>
      <c r="CI79" s="703"/>
      <c r="CK79" s="714"/>
      <c r="CS79" s="703"/>
    </row>
    <row r="80" spans="1:97" x14ac:dyDescent="0.2">
      <c r="A80" s="2" t="str">
        <f>A72</f>
        <v>US Domestic Organic Focus Brands Shipment Volume</v>
      </c>
      <c r="B80" s="2"/>
      <c r="C80" s="270"/>
      <c r="D80" s="63"/>
      <c r="E80" s="54"/>
      <c r="F80" s="54"/>
      <c r="G80" s="54"/>
      <c r="H80" s="503"/>
      <c r="I80" s="54"/>
      <c r="J80" s="54"/>
      <c r="K80" s="54"/>
      <c r="L80" s="54"/>
      <c r="M80" s="503"/>
      <c r="N80" s="63"/>
      <c r="O80" s="63"/>
      <c r="P80" s="63"/>
      <c r="Q80" s="63"/>
      <c r="R80" s="503"/>
      <c r="S80" s="63"/>
      <c r="T80" s="54">
        <f t="shared" si="86"/>
        <v>0.10389610389610393</v>
      </c>
      <c r="U80" s="54">
        <f t="shared" si="86"/>
        <v>6.024096385542177E-2</v>
      </c>
      <c r="V80" s="54">
        <f t="shared" si="86"/>
        <v>0.11688311688311681</v>
      </c>
      <c r="W80" s="504">
        <f t="shared" si="86"/>
        <v>7.7170418006430763E-2</v>
      </c>
      <c r="X80" s="54">
        <f t="shared" si="86"/>
        <v>5.2631578947368363E-2</v>
      </c>
      <c r="Y80" s="54">
        <f>Y72/8.6-1</f>
        <v>2.3255813953488413E-2</v>
      </c>
      <c r="Z80" s="54">
        <f>Z72/9-1</f>
        <v>6.6666666666666652E-2</v>
      </c>
      <c r="AA80" s="54">
        <f>AA72/8.8-1</f>
        <v>4.5454545454545192E-2</v>
      </c>
      <c r="AB80" s="510">
        <f>AB72/34-1</f>
        <v>4.7058823529411598E-2</v>
      </c>
      <c r="AC80" s="249"/>
      <c r="AD80" s="31"/>
      <c r="AE80" s="31"/>
      <c r="AF80" s="31"/>
      <c r="AG80" s="510"/>
      <c r="AH80" s="54">
        <f>+AH72/5.9-1</f>
        <v>5.0847457627118509E-2</v>
      </c>
      <c r="AI80" s="54">
        <f>AI72/6.3-1</f>
        <v>6.3492063492063489E-2</v>
      </c>
      <c r="AJ80" s="54">
        <f>AJ72/7.1-1</f>
        <v>0</v>
      </c>
      <c r="AK80" s="54">
        <f>AK72/6.3-1</f>
        <v>0.14285714285714302</v>
      </c>
      <c r="AL80" s="510">
        <f>AL72/25.6-1</f>
        <v>6.25E-2</v>
      </c>
      <c r="AM80" s="54">
        <f>AM72/6.3-1</f>
        <v>7.9365079365079305E-2</v>
      </c>
      <c r="AN80" s="54">
        <f>AN72/6.9-1</f>
        <v>0.15942028985507251</v>
      </c>
      <c r="AO80" s="54">
        <f>AO72/7.6-1</f>
        <v>6.578947368421062E-2</v>
      </c>
      <c r="AP80" s="54">
        <f>AP72/7.6-1</f>
        <v>0.11842105263157898</v>
      </c>
      <c r="AQ80" s="510">
        <f>AQ72/28.4-1</f>
        <v>0.10563380281690149</v>
      </c>
      <c r="AR80" s="54">
        <f>AR72/7.1-1</f>
        <v>8.4507042253521236E-2</v>
      </c>
      <c r="AS80" s="610">
        <f>AS72/8.2-1</f>
        <v>1.2195121951219745E-2</v>
      </c>
      <c r="AT80" s="620">
        <f>AT72/8.1-1</f>
        <v>4.9382716049382713E-2</v>
      </c>
      <c r="AU80" s="623">
        <f>AU72/8.4-1</f>
        <v>5.9523809523809534E-2</v>
      </c>
      <c r="AV80" s="510">
        <f>AV72/31.8-1</f>
        <v>5.031446540880502E-2</v>
      </c>
      <c r="AW80" s="249"/>
      <c r="AX80" s="249"/>
      <c r="AY80" s="249"/>
      <c r="AZ80" s="249"/>
      <c r="BA80" s="510"/>
      <c r="BB80" s="249"/>
      <c r="BC80" s="249"/>
      <c r="BD80" s="249"/>
      <c r="BE80" s="249"/>
      <c r="BF80" s="510"/>
      <c r="BG80" s="249"/>
      <c r="BH80" s="249"/>
      <c r="BI80" s="249"/>
      <c r="BJ80" s="249"/>
      <c r="BK80" s="510"/>
      <c r="BL80" s="249"/>
      <c r="BM80" s="249"/>
      <c r="BN80" s="249"/>
      <c r="BO80" s="249"/>
      <c r="BP80" s="510"/>
      <c r="BQ80" s="249"/>
      <c r="BR80" s="249"/>
      <c r="BS80" s="249"/>
      <c r="BT80" s="249"/>
      <c r="BU80" s="510"/>
      <c r="CB80" s="704"/>
    </row>
    <row r="81" spans="1:86" x14ac:dyDescent="0.2">
      <c r="A81" s="2"/>
      <c r="B81" s="2"/>
      <c r="C81" s="270"/>
      <c r="D81" s="63"/>
      <c r="E81" s="63"/>
      <c r="F81" s="63"/>
      <c r="G81" s="63"/>
      <c r="H81" s="503"/>
      <c r="I81" s="63"/>
      <c r="J81" s="249"/>
      <c r="K81" s="249"/>
      <c r="L81" s="249"/>
      <c r="M81" s="503"/>
      <c r="N81" s="63"/>
      <c r="O81" s="63"/>
      <c r="P81" s="63"/>
      <c r="Q81" s="63"/>
      <c r="R81" s="503"/>
      <c r="S81" s="63"/>
      <c r="T81" s="63"/>
      <c r="U81" s="63"/>
      <c r="V81" s="63"/>
      <c r="W81" s="503"/>
      <c r="X81" s="63"/>
      <c r="Y81" s="249"/>
      <c r="Z81" s="249"/>
      <c r="AA81" s="249"/>
      <c r="AB81" s="510"/>
      <c r="AC81" s="249"/>
      <c r="AD81" s="31"/>
      <c r="AE81" s="31"/>
      <c r="AF81" s="31"/>
      <c r="AG81" s="510"/>
      <c r="AH81" s="31"/>
      <c r="AI81" s="31"/>
      <c r="AJ81" s="31"/>
      <c r="AK81" s="31"/>
      <c r="AL81" s="510"/>
      <c r="AM81" s="31"/>
      <c r="AN81" s="31"/>
      <c r="AO81" s="31"/>
      <c r="AP81" s="31"/>
      <c r="AQ81" s="510"/>
      <c r="AR81" s="31"/>
      <c r="AS81" s="249"/>
      <c r="AT81" s="249"/>
      <c r="AU81" s="249"/>
      <c r="AV81" s="510"/>
      <c r="AW81" s="249"/>
      <c r="AX81" s="249"/>
      <c r="AY81" s="249"/>
      <c r="AZ81" s="249"/>
      <c r="BA81" s="510"/>
      <c r="BB81" s="249"/>
      <c r="BC81" s="249"/>
      <c r="BD81" s="249"/>
      <c r="BE81" s="249"/>
      <c r="BF81" s="510"/>
      <c r="BG81" s="249"/>
      <c r="BH81" s="249"/>
      <c r="BI81" s="249"/>
      <c r="BJ81" s="249"/>
      <c r="BK81" s="510"/>
      <c r="BL81" s="249"/>
      <c r="BM81" s="249"/>
      <c r="BN81" s="249"/>
      <c r="BO81" s="249"/>
      <c r="BP81" s="510"/>
      <c r="BQ81" s="249"/>
      <c r="BR81" s="249"/>
      <c r="BS81" s="249"/>
      <c r="BT81" s="249"/>
      <c r="BU81" s="510"/>
      <c r="BX81" s="309"/>
      <c r="CA81" s="309"/>
      <c r="CB81" s="709"/>
      <c r="CE81" s="309"/>
      <c r="CG81" s="642"/>
      <c r="CH81" s="642"/>
    </row>
    <row r="82" spans="1:86" x14ac:dyDescent="0.2">
      <c r="A82" s="2" t="s">
        <v>28</v>
      </c>
      <c r="B82" s="2"/>
      <c r="C82" s="270"/>
      <c r="D82" s="95"/>
      <c r="E82" s="95"/>
      <c r="F82" s="95"/>
      <c r="G82" s="95"/>
      <c r="H82" s="506"/>
      <c r="I82" s="95"/>
      <c r="J82" s="95"/>
      <c r="K82" s="95"/>
      <c r="L82" s="95"/>
      <c r="M82" s="506">
        <v>3.2000000000000001E-2</v>
      </c>
      <c r="N82" s="95">
        <v>-2.3E-2</v>
      </c>
      <c r="O82" s="95">
        <v>-4.0000000000000001E-3</v>
      </c>
      <c r="P82" s="95">
        <v>1.6E-2</v>
      </c>
      <c r="Q82" s="95">
        <v>7.2999999999999995E-2</v>
      </c>
      <c r="R82" s="506">
        <v>1.7000000000000001E-2</v>
      </c>
      <c r="S82" s="95">
        <v>-8.9999999999999993E-3</v>
      </c>
      <c r="T82" s="95">
        <v>7.5999999999999998E-2</v>
      </c>
      <c r="U82" s="95">
        <v>3.5000000000000003E-2</v>
      </c>
      <c r="V82" s="95">
        <v>5.1999999999999998E-2</v>
      </c>
      <c r="W82" s="506">
        <v>3.9E-2</v>
      </c>
      <c r="X82" s="95">
        <v>2.1999999999999999E-2</v>
      </c>
      <c r="Y82" s="95">
        <v>1.6E-2</v>
      </c>
      <c r="Z82" s="95">
        <v>4.2999999999999997E-2</v>
      </c>
      <c r="AA82" s="95">
        <v>5.3999999999999999E-2</v>
      </c>
      <c r="AB82" s="510">
        <v>3.5000000000000003E-2</v>
      </c>
      <c r="AC82" s="253">
        <v>-1.7999999999999999E-2</v>
      </c>
      <c r="AD82" s="253">
        <v>2.4E-2</v>
      </c>
      <c r="AE82" s="253">
        <v>0</v>
      </c>
      <c r="AF82" s="253">
        <v>-6.0000000000000001E-3</v>
      </c>
      <c r="AG82" s="510">
        <v>-1E-3</v>
      </c>
      <c r="AH82" s="54">
        <v>3.5000000000000003E-2</v>
      </c>
      <c r="AI82" s="54">
        <v>1.2999999999999999E-2</v>
      </c>
      <c r="AJ82" s="54">
        <v>-1E-3</v>
      </c>
      <c r="AK82" s="54">
        <v>2E-3</v>
      </c>
      <c r="AL82" s="510">
        <v>1.0999999999999999E-2</v>
      </c>
      <c r="AM82" s="54">
        <v>0.05</v>
      </c>
      <c r="AN82" s="54">
        <v>3.3000000000000002E-2</v>
      </c>
      <c r="AO82" s="54">
        <v>3.4000000000000002E-2</v>
      </c>
      <c r="AP82" s="54">
        <v>5.0000000000000001E-3</v>
      </c>
      <c r="AQ82" s="510">
        <v>2.9000000000000001E-2</v>
      </c>
      <c r="AR82" s="54">
        <v>-1.0999999999999999E-2</v>
      </c>
      <c r="AS82" s="253">
        <v>0.05</v>
      </c>
      <c r="AT82" s="253">
        <v>-2.5000000000000001E-2</v>
      </c>
      <c r="AU82" s="253">
        <v>2.1000000000000001E-2</v>
      </c>
      <c r="AV82" s="510">
        <v>8.9999999999999993E-3</v>
      </c>
      <c r="AW82" s="249"/>
      <c r="AX82" s="249"/>
      <c r="AY82" s="249"/>
      <c r="AZ82" s="249"/>
      <c r="BA82" s="510"/>
      <c r="BB82" s="249"/>
      <c r="BC82" s="249"/>
      <c r="BD82" s="249"/>
      <c r="BE82" s="249"/>
      <c r="BF82" s="510"/>
      <c r="BG82" s="249"/>
      <c r="BH82" s="249"/>
      <c r="BI82" s="249"/>
      <c r="BJ82" s="249"/>
      <c r="BK82" s="510"/>
      <c r="BL82" s="249"/>
      <c r="BM82" s="249"/>
      <c r="BN82" s="249"/>
      <c r="BO82" s="249"/>
      <c r="BP82" s="510"/>
      <c r="BQ82" s="249"/>
      <c r="BR82" s="249"/>
      <c r="BS82" s="249"/>
      <c r="BT82" s="249"/>
      <c r="BU82" s="510"/>
      <c r="BX82" s="309"/>
      <c r="CA82" s="309"/>
      <c r="CB82" s="705"/>
      <c r="CE82" s="642"/>
    </row>
    <row r="83" spans="1:86" x14ac:dyDescent="0.2">
      <c r="A83" s="2" t="s">
        <v>30</v>
      </c>
      <c r="B83" s="2"/>
      <c r="C83" s="270"/>
      <c r="D83" s="95"/>
      <c r="E83" s="95"/>
      <c r="F83" s="95"/>
      <c r="G83" s="95"/>
      <c r="H83" s="506"/>
      <c r="I83" s="95"/>
      <c r="J83" s="95"/>
      <c r="K83" s="95"/>
      <c r="L83" s="95"/>
      <c r="M83" s="506">
        <v>9.6000000000000002E-2</v>
      </c>
      <c r="N83" s="95">
        <v>2.7E-2</v>
      </c>
      <c r="O83" s="95">
        <v>3.5999999999999997E-2</v>
      </c>
      <c r="P83" s="95">
        <v>5.8000000000000003E-2</v>
      </c>
      <c r="Q83" s="95">
        <v>0.11600000000000001</v>
      </c>
      <c r="R83" s="506">
        <v>6.0999999999999999E-2</v>
      </c>
      <c r="S83" s="95">
        <v>1.6E-2</v>
      </c>
      <c r="T83" s="95">
        <v>0.115</v>
      </c>
      <c r="U83" s="95">
        <v>7.0999999999999994E-2</v>
      </c>
      <c r="V83" s="95">
        <v>9.4E-2</v>
      </c>
      <c r="W83" s="506">
        <v>7.5999999999999998E-2</v>
      </c>
      <c r="X83" s="95">
        <v>0.05</v>
      </c>
      <c r="Y83" s="95">
        <v>4.5999999999999999E-2</v>
      </c>
      <c r="Z83" s="95">
        <v>5.5E-2</v>
      </c>
      <c r="AA83" s="95">
        <v>6.8000000000000005E-2</v>
      </c>
      <c r="AB83" s="510">
        <v>5.6000000000000001E-2</v>
      </c>
      <c r="AC83" s="253">
        <v>-1.2999999999999999E-2</v>
      </c>
      <c r="AD83" s="253">
        <v>2.7E-2</v>
      </c>
      <c r="AE83" s="253">
        <v>0</v>
      </c>
      <c r="AF83" s="253">
        <v>0</v>
      </c>
      <c r="AG83" s="510">
        <v>4.0000000000000001E-3</v>
      </c>
      <c r="AH83" s="54">
        <v>6.7000000000000004E-2</v>
      </c>
      <c r="AI83" s="54">
        <v>6.3E-2</v>
      </c>
      <c r="AJ83" s="54">
        <v>0.04</v>
      </c>
      <c r="AK83" s="54">
        <v>3.5000000000000003E-2</v>
      </c>
      <c r="AL83" s="510">
        <v>0.05</v>
      </c>
      <c r="AM83" s="54">
        <v>0.11899999999999999</v>
      </c>
      <c r="AN83" s="54">
        <v>8.6999999999999994E-2</v>
      </c>
      <c r="AO83" s="54">
        <v>8.7999999999999995E-2</v>
      </c>
      <c r="AP83" s="54">
        <v>6.9000000000000006E-2</v>
      </c>
      <c r="AQ83" s="510">
        <v>8.8999999999999996E-2</v>
      </c>
      <c r="AR83" s="610">
        <v>3.5999999999999997E-2</v>
      </c>
      <c r="AS83" s="253">
        <v>0.123</v>
      </c>
      <c r="AT83" s="253">
        <v>2.5999999999999999E-2</v>
      </c>
      <c r="AU83" s="253">
        <v>7.0999999999999994E-2</v>
      </c>
      <c r="AV83" s="510">
        <v>6.6000000000000003E-2</v>
      </c>
      <c r="AW83" s="249"/>
      <c r="AX83" s="249"/>
      <c r="AY83" s="249"/>
      <c r="AZ83" s="249"/>
      <c r="BA83" s="510"/>
      <c r="BB83" s="249"/>
      <c r="BC83" s="249"/>
      <c r="BD83" s="249"/>
      <c r="BE83" s="249"/>
      <c r="BF83" s="510"/>
      <c r="BG83" s="249"/>
      <c r="BH83" s="249"/>
      <c r="BI83" s="249"/>
      <c r="BJ83" s="249"/>
      <c r="BK83" s="510"/>
      <c r="BL83" s="249"/>
      <c r="BM83" s="249"/>
      <c r="BN83" s="249"/>
      <c r="BO83" s="249"/>
      <c r="BP83" s="510"/>
      <c r="BQ83" s="249"/>
      <c r="BR83" s="249"/>
      <c r="BS83" s="249"/>
      <c r="BT83" s="249"/>
      <c r="BU83" s="510"/>
      <c r="BX83" s="309"/>
      <c r="BY83" s="309"/>
      <c r="BZ83" s="309"/>
      <c r="CA83" s="645"/>
      <c r="CE83" s="642"/>
      <c r="CG83" s="703"/>
      <c r="CH83" s="703"/>
    </row>
    <row r="84" spans="1:86" x14ac:dyDescent="0.2">
      <c r="A84" s="2"/>
      <c r="B84" s="2"/>
      <c r="C84" s="270"/>
      <c r="D84" s="63"/>
      <c r="E84" s="63"/>
      <c r="F84" s="63"/>
      <c r="G84" s="63"/>
      <c r="H84" s="503"/>
      <c r="I84" s="63"/>
      <c r="J84" s="249"/>
      <c r="K84" s="249"/>
      <c r="L84" s="249"/>
      <c r="M84" s="503"/>
      <c r="N84" s="63"/>
      <c r="O84" s="63"/>
      <c r="P84" s="63"/>
      <c r="Q84" s="63"/>
      <c r="R84" s="503"/>
      <c r="S84" s="63"/>
      <c r="T84" s="63"/>
      <c r="U84" s="63"/>
      <c r="V84" s="63"/>
      <c r="W84" s="503"/>
      <c r="X84" s="63"/>
      <c r="Y84" s="249"/>
      <c r="Z84" s="249"/>
      <c r="AA84" s="249"/>
      <c r="AB84" s="510"/>
      <c r="AC84" s="249"/>
      <c r="AD84" s="31"/>
      <c r="AE84" s="31"/>
      <c r="AF84" s="31"/>
      <c r="AG84" s="510"/>
      <c r="AH84" s="31"/>
      <c r="AI84" s="31"/>
      <c r="AJ84" s="31"/>
      <c r="AK84" s="31"/>
      <c r="AL84" s="510"/>
      <c r="AM84" s="31"/>
      <c r="AN84" s="31"/>
      <c r="AO84" s="31"/>
      <c r="AP84" s="31"/>
      <c r="AQ84" s="510"/>
      <c r="AR84" s="31"/>
      <c r="AS84" s="249"/>
      <c r="AT84" s="249"/>
      <c r="AU84" s="249"/>
      <c r="AV84" s="510"/>
      <c r="AW84" s="249"/>
      <c r="AX84" s="249"/>
      <c r="AY84" s="249"/>
      <c r="AZ84" s="249"/>
      <c r="BA84" s="510"/>
      <c r="BB84" s="249"/>
      <c r="BC84" s="249"/>
      <c r="BD84" s="249"/>
      <c r="BE84" s="249"/>
      <c r="BF84" s="510"/>
      <c r="BG84" s="249"/>
      <c r="BH84" s="249"/>
      <c r="BI84" s="249"/>
      <c r="BJ84" s="249"/>
      <c r="BK84" s="510"/>
      <c r="BL84" s="249"/>
      <c r="BM84" s="249"/>
      <c r="BN84" s="249"/>
      <c r="BO84" s="249"/>
      <c r="BP84" s="510"/>
      <c r="BQ84" s="249"/>
      <c r="BR84" s="249"/>
      <c r="BS84" s="249"/>
      <c r="BT84" s="249"/>
      <c r="BU84" s="510"/>
      <c r="BX84" s="309"/>
      <c r="BY84" s="309"/>
      <c r="BZ84" s="309"/>
      <c r="CA84" s="309"/>
      <c r="CB84" s="698"/>
      <c r="CC84" s="698"/>
      <c r="CD84" s="309"/>
    </row>
    <row r="85" spans="1:86" x14ac:dyDescent="0.2">
      <c r="A85" s="2" t="s">
        <v>32</v>
      </c>
      <c r="B85" s="2"/>
      <c r="C85" s="270"/>
      <c r="D85" s="95"/>
      <c r="E85" s="95"/>
      <c r="F85" s="95"/>
      <c r="G85" s="95"/>
      <c r="H85" s="506"/>
      <c r="I85" s="95"/>
      <c r="J85" s="95"/>
      <c r="K85" s="95"/>
      <c r="L85" s="95"/>
      <c r="M85" s="506"/>
      <c r="N85" s="95">
        <f t="shared" ref="N85:AA85" si="91">N77-N82</f>
        <v>-3.582352941176483E-2</v>
      </c>
      <c r="O85" s="95">
        <f t="shared" si="91"/>
        <v>-4.3999999999999928E-2</v>
      </c>
      <c r="P85" s="95">
        <f t="shared" si="91"/>
        <v>-0.1254890510948905</v>
      </c>
      <c r="Q85" s="95">
        <f t="shared" si="91"/>
        <v>-0.19421212121212122</v>
      </c>
      <c r="R85" s="506">
        <f t="shared" si="91"/>
        <v>-5.5934426229508158E-2</v>
      </c>
      <c r="S85" s="95">
        <f t="shared" si="91"/>
        <v>8.9999999999999993E-3</v>
      </c>
      <c r="T85" s="95">
        <f t="shared" si="91"/>
        <v>-2.5579831932773064E-2</v>
      </c>
      <c r="U85" s="95">
        <f t="shared" si="91"/>
        <v>3.0573770491803348E-2</v>
      </c>
      <c r="V85" s="95">
        <f t="shared" si="91"/>
        <v>3.4206896551724202E-2</v>
      </c>
      <c r="W85" s="506">
        <f t="shared" si="91"/>
        <v>1.2172707889125979E-2</v>
      </c>
      <c r="X85" s="95">
        <f t="shared" si="91"/>
        <v>4.0500000000000001E-2</v>
      </c>
      <c r="Y85" s="95">
        <f t="shared" si="91"/>
        <v>-1.6E-2</v>
      </c>
      <c r="Z85" s="95">
        <f t="shared" si="91"/>
        <v>1.084615384615388E-2</v>
      </c>
      <c r="AA85" s="95">
        <f t="shared" si="91"/>
        <v>-6.3809523809523275E-3</v>
      </c>
      <c r="AB85" s="510">
        <f>AB77-AB82</f>
        <v>5.5679513184582474E-3</v>
      </c>
      <c r="AC85" s="240">
        <f>AC77-AC82</f>
        <v>-2.4016806722689039E-2</v>
      </c>
      <c r="AD85" s="240">
        <f>AD77-AD82</f>
        <v>-1.5999999999999993E-2</v>
      </c>
      <c r="AE85" s="240">
        <f>AE77-AE82</f>
        <v>0</v>
      </c>
      <c r="AF85" s="240">
        <f>AF77-AF82</f>
        <v>-2.4303030303030167E-2</v>
      </c>
      <c r="AG85" s="510"/>
      <c r="AH85" s="240">
        <f t="shared" ref="AH85:AQ85" si="92">AH78-AH82</f>
        <v>-8.684210526315933E-3</v>
      </c>
      <c r="AI85" s="240">
        <f t="shared" si="92"/>
        <v>2.8730158730160393E-3</v>
      </c>
      <c r="AJ85" s="240">
        <f t="shared" si="92"/>
        <v>8.2992700729928037E-3</v>
      </c>
      <c r="AK85" s="240">
        <f t="shared" si="92"/>
        <v>1.3625E-2</v>
      </c>
      <c r="AL85" s="510">
        <f t="shared" si="92"/>
        <v>4.8415841584158563E-3</v>
      </c>
      <c r="AM85" s="253">
        <f t="shared" si="92"/>
        <v>-1.5811965811965714E-2</v>
      </c>
      <c r="AN85" s="253">
        <f t="shared" si="92"/>
        <v>6.0749999999999998E-2</v>
      </c>
      <c r="AO85" s="253">
        <f t="shared" si="92"/>
        <v>-4.8184397163120479E-2</v>
      </c>
      <c r="AP85" s="253">
        <f t="shared" si="92"/>
        <v>6.2669172932330652E-2</v>
      </c>
      <c r="AQ85" s="510">
        <f t="shared" si="92"/>
        <v>1.5315992292871086E-2</v>
      </c>
      <c r="AR85" s="253">
        <f>AR78-AR82</f>
        <v>4.3258064516128999E-2</v>
      </c>
      <c r="AS85" s="253">
        <f>AS78-AS82</f>
        <v>-9.9295774647887261E-2</v>
      </c>
      <c r="AT85" s="253">
        <f>AT78-AT82</f>
        <v>-1.0714285714285697E-2</v>
      </c>
      <c r="AU85" s="253">
        <f>AU78-AU82</f>
        <v>-7.1111111111111618E-3</v>
      </c>
      <c r="AV85" s="510">
        <f>AV78-AV82</f>
        <v>-1.990909090909098E-2</v>
      </c>
      <c r="AW85" s="271"/>
      <c r="AX85" s="271"/>
      <c r="AY85" s="271"/>
      <c r="AZ85" s="271"/>
      <c r="BA85" s="510"/>
      <c r="BB85" s="271"/>
      <c r="BC85" s="271"/>
      <c r="BD85" s="271"/>
      <c r="BE85" s="271"/>
      <c r="BF85" s="510"/>
      <c r="BG85" s="271"/>
      <c r="BH85" s="271"/>
      <c r="BI85" s="271"/>
      <c r="BJ85" s="271"/>
      <c r="BK85" s="510"/>
      <c r="BL85" s="271"/>
      <c r="BM85" s="271"/>
      <c r="BN85" s="271"/>
      <c r="BO85" s="271"/>
      <c r="BP85" s="510"/>
      <c r="BQ85" s="271"/>
      <c r="BR85" s="271"/>
      <c r="BS85" s="271"/>
      <c r="BT85" s="271"/>
      <c r="BU85" s="510"/>
      <c r="BX85" s="309"/>
      <c r="BY85" s="309"/>
      <c r="BZ85" s="309"/>
      <c r="CA85" s="309"/>
      <c r="CB85" s="700"/>
      <c r="CC85" s="700"/>
      <c r="CD85" s="309"/>
      <c r="CH85" s="714"/>
    </row>
    <row r="86" spans="1:86" x14ac:dyDescent="0.2">
      <c r="A86" s="306" t="s">
        <v>33</v>
      </c>
      <c r="B86" s="306"/>
      <c r="C86" s="367"/>
      <c r="D86" s="369"/>
      <c r="E86" s="369"/>
      <c r="F86" s="369"/>
      <c r="G86" s="369"/>
      <c r="H86" s="507"/>
      <c r="I86" s="369"/>
      <c r="J86" s="369"/>
      <c r="K86" s="369"/>
      <c r="L86" s="369"/>
      <c r="M86" s="507"/>
      <c r="N86" s="369">
        <f t="shared" ref="N86:AA86" si="93">N79-N83</f>
        <v>-0.12456097560975596</v>
      </c>
      <c r="O86" s="369">
        <f t="shared" si="93"/>
        <v>-0.1708314606741573</v>
      </c>
      <c r="P86" s="369">
        <f t="shared" si="93"/>
        <v>-0.19341666666666651</v>
      </c>
      <c r="Q86" s="369">
        <f t="shared" si="93"/>
        <v>-0.2790434782608695</v>
      </c>
      <c r="R86" s="507">
        <f t="shared" si="93"/>
        <v>-5.452750809061474E-2</v>
      </c>
      <c r="S86" s="369">
        <f t="shared" si="93"/>
        <v>1.1027027027026973E-2</v>
      </c>
      <c r="T86" s="369">
        <f t="shared" si="93"/>
        <v>1.883116883116806E-3</v>
      </c>
      <c r="U86" s="369">
        <f t="shared" si="93"/>
        <v>1.3337349397590306E-2</v>
      </c>
      <c r="V86" s="369">
        <f t="shared" si="93"/>
        <v>4.8857142857143016E-2</v>
      </c>
      <c r="W86" s="507">
        <f t="shared" si="93"/>
        <v>1.7247588424437257E-2</v>
      </c>
      <c r="X86" s="369">
        <f t="shared" si="93"/>
        <v>2.8947368421052652E-2</v>
      </c>
      <c r="Y86" s="369">
        <f t="shared" si="93"/>
        <v>-1.1116279069767379E-2</v>
      </c>
      <c r="Z86" s="369">
        <f t="shared" si="93"/>
        <v>1.1666666666666652E-2</v>
      </c>
      <c r="AA86" s="369">
        <f t="shared" si="93"/>
        <v>-2.2545454545454813E-2</v>
      </c>
      <c r="AB86" s="512">
        <f>AB79-AB83</f>
        <v>-1.1764705882328502E-4</v>
      </c>
      <c r="AC86" s="375">
        <f>AC79-AC83</f>
        <v>8.0487804878047638E-4</v>
      </c>
      <c r="AD86" s="375">
        <f>AD79-AD83</f>
        <v>-6.0707865168539404E-2</v>
      </c>
      <c r="AE86" s="375">
        <f>AE79-AE83</f>
        <v>2.0833333333333481E-2</v>
      </c>
      <c r="AF86" s="375">
        <f>AF79-AF83</f>
        <v>-5.4347826086956541E-2</v>
      </c>
      <c r="AG86" s="512"/>
      <c r="AH86" s="375">
        <f t="shared" ref="AH86:AS86" si="94">AH80-AH83</f>
        <v>-1.6152542372881495E-2</v>
      </c>
      <c r="AI86" s="375">
        <f t="shared" si="94"/>
        <v>4.9206349206348809E-4</v>
      </c>
      <c r="AJ86" s="375">
        <f t="shared" si="94"/>
        <v>-0.04</v>
      </c>
      <c r="AK86" s="375">
        <f t="shared" si="94"/>
        <v>0.10785714285714301</v>
      </c>
      <c r="AL86" s="512">
        <f t="shared" si="94"/>
        <v>1.2499999999999997E-2</v>
      </c>
      <c r="AM86" s="582">
        <f t="shared" si="94"/>
        <v>-3.963492063492069E-2</v>
      </c>
      <c r="AN86" s="582">
        <f t="shared" si="94"/>
        <v>7.2420289855072512E-2</v>
      </c>
      <c r="AO86" s="582">
        <f t="shared" si="94"/>
        <v>-2.2210526315789375E-2</v>
      </c>
      <c r="AP86" s="582">
        <f t="shared" si="94"/>
        <v>4.9421052631578977E-2</v>
      </c>
      <c r="AQ86" s="512">
        <f t="shared" si="94"/>
        <v>1.6633802816901494E-2</v>
      </c>
      <c r="AR86" s="582">
        <f t="shared" si="94"/>
        <v>4.8507042253521239E-2</v>
      </c>
      <c r="AS86" s="582">
        <f t="shared" si="94"/>
        <v>-0.11080487804878025</v>
      </c>
      <c r="AT86" s="582">
        <f>AT80-AT83</f>
        <v>2.3382716049382715E-2</v>
      </c>
      <c r="AU86" s="582">
        <f>AU80-AU83</f>
        <v>-1.1476190476190459E-2</v>
      </c>
      <c r="AV86" s="512">
        <f>AV80-AV83</f>
        <v>-1.5685534591194983E-2</v>
      </c>
      <c r="AW86" s="368"/>
      <c r="AX86" s="368"/>
      <c r="AY86" s="368"/>
      <c r="AZ86" s="368"/>
      <c r="BA86" s="512"/>
      <c r="BB86" s="368"/>
      <c r="BC86" s="368"/>
      <c r="BD86" s="368"/>
      <c r="BE86" s="368"/>
      <c r="BF86" s="512"/>
      <c r="BG86" s="368"/>
      <c r="BH86" s="569"/>
      <c r="BI86" s="569"/>
      <c r="BJ86" s="570"/>
      <c r="BK86" s="512"/>
      <c r="BL86" s="570"/>
      <c r="BM86" s="368"/>
      <c r="BN86" s="368"/>
      <c r="BO86" s="368"/>
      <c r="BP86" s="512"/>
      <c r="BQ86" s="368"/>
      <c r="BR86" s="368"/>
      <c r="BS86" s="368"/>
      <c r="BT86" s="368"/>
      <c r="BU86" s="512"/>
      <c r="BX86" s="309"/>
      <c r="BY86" s="309"/>
      <c r="BZ86" s="309"/>
      <c r="CA86" s="309"/>
    </row>
    <row r="103" ht="6" customHeight="1" x14ac:dyDescent="0.2"/>
    <row r="107" ht="15" customHeight="1" x14ac:dyDescent="0.2"/>
    <row r="108" ht="15" customHeight="1" x14ac:dyDescent="0.2"/>
    <row r="114" ht="13.5" customHeight="1" x14ac:dyDescent="0.2"/>
    <row r="115" ht="13.5" customHeight="1" x14ac:dyDescent="0.2"/>
    <row r="116" ht="13.5" customHeight="1" x14ac:dyDescent="0.2"/>
    <row r="117" ht="13.5" customHeight="1" x14ac:dyDescent="0.2"/>
    <row r="120" ht="7.5" customHeight="1" x14ac:dyDescent="0.2"/>
    <row r="208" ht="4.5" customHeight="1" x14ac:dyDescent="0.2"/>
    <row r="210" ht="9" customHeight="1" x14ac:dyDescent="0.2"/>
    <row r="220" ht="6.75" customHeight="1" x14ac:dyDescent="0.2"/>
    <row r="232" ht="7.5" customHeight="1" x14ac:dyDescent="0.2"/>
    <row r="249" spans="82:104" x14ac:dyDescent="0.2">
      <c r="CD249" s="8"/>
      <c r="CE249" s="8"/>
      <c r="CF249" s="8"/>
      <c r="CG249" s="8"/>
      <c r="CH249" s="8"/>
      <c r="CI249" s="8"/>
      <c r="CJ249" s="8"/>
      <c r="CK249" s="8"/>
      <c r="CL249" s="8"/>
      <c r="CM249" s="8"/>
      <c r="CN249" s="8"/>
      <c r="CO249" s="8"/>
      <c r="CP249" s="8"/>
      <c r="CQ249" s="8"/>
      <c r="CR249" s="8"/>
      <c r="CS249" s="8"/>
      <c r="CT249" s="8"/>
      <c r="CU249" s="8"/>
      <c r="CV249" s="8"/>
      <c r="CW249" s="8"/>
      <c r="CX249" s="8"/>
      <c r="CY249" s="8"/>
      <c r="CZ249" s="8"/>
    </row>
    <row r="250" spans="82:104" x14ac:dyDescent="0.2">
      <c r="CD250" s="8"/>
      <c r="CE250" s="8"/>
      <c r="CF250" s="8"/>
      <c r="CG250" s="8"/>
      <c r="CH250" s="8"/>
      <c r="CI250" s="8"/>
      <c r="CJ250" s="8"/>
      <c r="CK250" s="8"/>
      <c r="CL250" s="8"/>
      <c r="CM250" s="8"/>
      <c r="CN250" s="8"/>
      <c r="CO250" s="8"/>
      <c r="CP250" s="8"/>
      <c r="CQ250" s="8"/>
      <c r="CR250" s="8"/>
      <c r="CS250" s="8"/>
      <c r="CT250" s="8"/>
      <c r="CU250" s="8"/>
      <c r="CV250" s="8"/>
      <c r="CW250" s="8"/>
      <c r="CX250" s="8"/>
      <c r="CY250" s="8"/>
      <c r="CZ250" s="8"/>
    </row>
    <row r="251" spans="82:104" x14ac:dyDescent="0.2">
      <c r="CD251" s="8"/>
      <c r="CE251" s="8"/>
      <c r="CF251" s="8"/>
      <c r="CG251" s="8"/>
      <c r="CH251" s="8"/>
      <c r="CI251" s="8"/>
      <c r="CJ251" s="8"/>
      <c r="CK251" s="8"/>
      <c r="CL251" s="8"/>
      <c r="CM251" s="8"/>
      <c r="CN251" s="8"/>
      <c r="CO251" s="8"/>
      <c r="CP251" s="8"/>
      <c r="CQ251" s="8"/>
      <c r="CR251" s="8"/>
      <c r="CS251" s="8"/>
      <c r="CT251" s="8"/>
      <c r="CU251" s="8"/>
      <c r="CV251" s="8"/>
      <c r="CW251" s="8"/>
      <c r="CX251" s="8"/>
      <c r="CY251" s="8"/>
      <c r="CZ251" s="8"/>
    </row>
    <row r="252" spans="82:104" x14ac:dyDescent="0.2">
      <c r="CD252" s="8"/>
      <c r="CE252" s="8"/>
      <c r="CF252" s="8"/>
      <c r="CG252" s="8"/>
      <c r="CH252" s="8"/>
      <c r="CI252" s="8"/>
      <c r="CJ252" s="8"/>
      <c r="CK252" s="8"/>
      <c r="CL252" s="8"/>
      <c r="CM252" s="8"/>
      <c r="CN252" s="8"/>
      <c r="CO252" s="8"/>
      <c r="CP252" s="8"/>
      <c r="CQ252" s="8"/>
      <c r="CR252" s="8"/>
      <c r="CS252" s="8"/>
      <c r="CT252" s="8"/>
      <c r="CU252" s="8"/>
      <c r="CV252" s="8"/>
      <c r="CW252" s="8"/>
      <c r="CX252" s="8"/>
      <c r="CY252" s="8"/>
      <c r="CZ252" s="8"/>
    </row>
    <row r="253" spans="82:104" x14ac:dyDescent="0.2">
      <c r="CD253" s="8"/>
      <c r="CE253" s="8"/>
      <c r="CF253" s="8"/>
      <c r="CG253" s="8"/>
      <c r="CH253" s="8"/>
      <c r="CI253" s="8"/>
      <c r="CJ253" s="8"/>
      <c r="CK253" s="8"/>
      <c r="CL253" s="8"/>
      <c r="CM253" s="8"/>
      <c r="CN253" s="8"/>
      <c r="CO253" s="8"/>
      <c r="CP253" s="8"/>
      <c r="CQ253" s="8"/>
      <c r="CR253" s="8"/>
      <c r="CS253" s="8"/>
      <c r="CT253" s="8"/>
      <c r="CU253" s="8"/>
      <c r="CV253" s="8"/>
      <c r="CW253" s="8"/>
      <c r="CX253" s="8"/>
      <c r="CY253" s="8"/>
      <c r="CZ253" s="8"/>
    </row>
    <row r="254" spans="82:104" x14ac:dyDescent="0.2">
      <c r="CD254" s="8"/>
      <c r="CE254" s="8"/>
      <c r="CF254" s="8"/>
      <c r="CG254" s="8"/>
      <c r="CH254" s="8"/>
      <c r="CI254" s="8"/>
      <c r="CJ254" s="8"/>
      <c r="CK254" s="8"/>
      <c r="CL254" s="8"/>
      <c r="CM254" s="8"/>
      <c r="CN254" s="8"/>
      <c r="CO254" s="8"/>
      <c r="CP254" s="8"/>
      <c r="CQ254" s="8"/>
      <c r="CR254" s="8"/>
      <c r="CS254" s="8"/>
      <c r="CT254" s="8"/>
      <c r="CU254" s="8"/>
      <c r="CV254" s="8"/>
      <c r="CW254" s="8"/>
      <c r="CX254" s="8"/>
      <c r="CY254" s="8"/>
      <c r="CZ254" s="8"/>
    </row>
    <row r="255" spans="82:104" x14ac:dyDescent="0.2">
      <c r="CD255" s="8"/>
      <c r="CE255" s="8"/>
      <c r="CF255" s="8"/>
      <c r="CG255" s="8"/>
      <c r="CH255" s="8"/>
      <c r="CI255" s="8"/>
      <c r="CJ255" s="8"/>
      <c r="CK255" s="8"/>
      <c r="CL255" s="8"/>
      <c r="CM255" s="8"/>
      <c r="CN255" s="8"/>
      <c r="CO255" s="8"/>
      <c r="CP255" s="8"/>
      <c r="CQ255" s="8"/>
      <c r="CR255" s="8"/>
      <c r="CS255" s="8"/>
      <c r="CT255" s="8"/>
      <c r="CU255" s="8"/>
      <c r="CV255" s="8"/>
      <c r="CW255" s="8"/>
      <c r="CX255" s="8"/>
      <c r="CY255" s="8"/>
      <c r="CZ255" s="8"/>
    </row>
    <row r="256" spans="82:104" x14ac:dyDescent="0.2">
      <c r="CD256" s="8"/>
      <c r="CE256" s="8"/>
      <c r="CF256" s="8"/>
      <c r="CG256" s="8"/>
      <c r="CH256" s="8"/>
      <c r="CI256" s="8"/>
      <c r="CJ256" s="8"/>
      <c r="CK256" s="8"/>
      <c r="CL256" s="8"/>
      <c r="CM256" s="8"/>
      <c r="CN256" s="8"/>
      <c r="CO256" s="8"/>
      <c r="CP256" s="8"/>
      <c r="CQ256" s="8"/>
      <c r="CR256" s="8"/>
      <c r="CS256" s="8"/>
      <c r="CT256" s="8"/>
      <c r="CU256" s="8"/>
      <c r="CV256" s="8"/>
      <c r="CW256" s="8"/>
      <c r="CX256" s="8"/>
      <c r="CY256" s="8"/>
      <c r="CZ256" s="8"/>
    </row>
    <row r="257" spans="82:104" x14ac:dyDescent="0.2">
      <c r="CD257" s="8"/>
      <c r="CE257" s="8"/>
      <c r="CF257" s="8"/>
      <c r="CG257" s="8"/>
      <c r="CH257" s="8"/>
      <c r="CI257" s="8"/>
      <c r="CJ257" s="8"/>
      <c r="CK257" s="8"/>
      <c r="CL257" s="8"/>
      <c r="CM257" s="8"/>
      <c r="CN257" s="8"/>
      <c r="CO257" s="8"/>
      <c r="CP257" s="8"/>
      <c r="CQ257" s="8"/>
      <c r="CR257" s="8"/>
      <c r="CS257" s="8"/>
      <c r="CT257" s="8"/>
      <c r="CU257" s="8"/>
      <c r="CV257" s="8"/>
      <c r="CW257" s="8"/>
      <c r="CX257" s="8"/>
      <c r="CY257" s="8"/>
      <c r="CZ257" s="8"/>
    </row>
    <row r="258" spans="82:104" x14ac:dyDescent="0.2">
      <c r="CD258" s="8"/>
      <c r="CE258" s="8"/>
      <c r="CF258" s="8"/>
      <c r="CG258" s="8"/>
      <c r="CH258" s="8"/>
      <c r="CI258" s="8"/>
      <c r="CJ258" s="8"/>
      <c r="CK258" s="8"/>
      <c r="CL258" s="8"/>
      <c r="CM258" s="8"/>
      <c r="CN258" s="8"/>
      <c r="CO258" s="8"/>
      <c r="CP258" s="8"/>
      <c r="CQ258" s="8"/>
      <c r="CR258" s="8"/>
      <c r="CS258" s="8"/>
      <c r="CT258" s="8"/>
      <c r="CU258" s="8"/>
      <c r="CV258" s="8"/>
      <c r="CW258" s="8"/>
      <c r="CX258" s="8"/>
      <c r="CY258" s="8"/>
      <c r="CZ258" s="8"/>
    </row>
    <row r="259" spans="82:104" x14ac:dyDescent="0.2">
      <c r="CD259" s="8"/>
      <c r="CE259" s="8"/>
      <c r="CF259" s="8"/>
      <c r="CG259" s="8"/>
      <c r="CH259" s="8"/>
      <c r="CI259" s="8"/>
      <c r="CJ259" s="8"/>
      <c r="CK259" s="8"/>
      <c r="CL259" s="8"/>
      <c r="CM259" s="8"/>
      <c r="CN259" s="8"/>
      <c r="CO259" s="8"/>
      <c r="CP259" s="8"/>
      <c r="CQ259" s="8"/>
      <c r="CR259" s="8"/>
      <c r="CS259" s="8"/>
      <c r="CT259" s="8"/>
      <c r="CU259" s="8"/>
      <c r="CV259" s="8"/>
      <c r="CW259" s="8"/>
      <c r="CX259" s="8"/>
      <c r="CY259" s="8"/>
      <c r="CZ259" s="8"/>
    </row>
    <row r="260" spans="82:104" x14ac:dyDescent="0.2">
      <c r="CD260" s="8"/>
      <c r="CE260" s="8"/>
      <c r="CF260" s="8"/>
      <c r="CG260" s="8"/>
      <c r="CH260" s="8"/>
      <c r="CI260" s="8"/>
      <c r="CJ260" s="8"/>
      <c r="CK260" s="8"/>
      <c r="CL260" s="8"/>
      <c r="CM260" s="8"/>
      <c r="CN260" s="8"/>
      <c r="CO260" s="8"/>
      <c r="CP260" s="8"/>
      <c r="CQ260" s="8"/>
      <c r="CR260" s="8"/>
      <c r="CS260" s="8"/>
      <c r="CT260" s="8"/>
      <c r="CU260" s="8"/>
      <c r="CV260" s="8"/>
      <c r="CW260" s="8"/>
      <c r="CX260" s="8"/>
      <c r="CY260" s="8"/>
      <c r="CZ260" s="8"/>
    </row>
    <row r="261" spans="82:104" x14ac:dyDescent="0.2">
      <c r="CD261" s="8"/>
      <c r="CE261" s="8"/>
      <c r="CF261" s="8"/>
      <c r="CG261" s="8"/>
      <c r="CH261" s="8"/>
      <c r="CI261" s="8"/>
      <c r="CJ261" s="8"/>
      <c r="CK261" s="8"/>
      <c r="CL261" s="8"/>
      <c r="CM261" s="8"/>
      <c r="CN261" s="8"/>
      <c r="CO261" s="8"/>
      <c r="CP261" s="8"/>
      <c r="CQ261" s="8"/>
      <c r="CR261" s="8"/>
      <c r="CS261" s="8"/>
      <c r="CT261" s="8"/>
      <c r="CU261" s="8"/>
      <c r="CV261" s="8"/>
      <c r="CW261" s="8"/>
      <c r="CX261" s="8"/>
      <c r="CY261" s="8"/>
      <c r="CZ261" s="8"/>
    </row>
    <row r="262" spans="82:104" x14ac:dyDescent="0.2">
      <c r="CD262" s="8"/>
      <c r="CE262" s="8"/>
      <c r="CF262" s="8"/>
      <c r="CG262" s="8"/>
      <c r="CH262" s="8"/>
      <c r="CI262" s="8"/>
      <c r="CJ262" s="8"/>
      <c r="CK262" s="8"/>
      <c r="CL262" s="8"/>
      <c r="CM262" s="8"/>
      <c r="CN262" s="8"/>
      <c r="CO262" s="8"/>
      <c r="CP262" s="8"/>
      <c r="CQ262" s="8"/>
      <c r="CR262" s="8"/>
      <c r="CS262" s="8"/>
      <c r="CT262" s="8"/>
      <c r="CU262" s="8"/>
      <c r="CV262" s="8"/>
      <c r="CW262" s="8"/>
      <c r="CX262" s="8"/>
      <c r="CY262" s="8"/>
      <c r="CZ262" s="8"/>
    </row>
    <row r="263" spans="82:104" ht="12.75" customHeight="1" x14ac:dyDescent="0.2">
      <c r="CD263" s="8"/>
      <c r="CE263" s="8"/>
      <c r="CF263" s="8"/>
      <c r="CG263" s="8"/>
      <c r="CH263" s="8"/>
      <c r="CI263" s="8"/>
      <c r="CJ263" s="8"/>
      <c r="CK263" s="8"/>
      <c r="CL263" s="8"/>
      <c r="CM263" s="8"/>
      <c r="CN263" s="8"/>
      <c r="CO263" s="8"/>
      <c r="CP263" s="8"/>
      <c r="CQ263" s="8"/>
      <c r="CR263" s="8"/>
      <c r="CS263" s="8"/>
      <c r="CT263" s="8"/>
      <c r="CU263" s="8"/>
      <c r="CV263" s="8"/>
      <c r="CW263" s="8"/>
      <c r="CX263" s="8"/>
      <c r="CY263" s="8"/>
      <c r="CZ263" s="8"/>
    </row>
    <row r="264" spans="82:104" x14ac:dyDescent="0.2">
      <c r="CD264" s="8"/>
      <c r="CE264" s="8"/>
      <c r="CF264" s="8"/>
      <c r="CG264" s="8"/>
      <c r="CH264" s="8"/>
      <c r="CI264" s="8"/>
      <c r="CJ264" s="8"/>
      <c r="CK264" s="8"/>
      <c r="CL264" s="8"/>
      <c r="CM264" s="8"/>
      <c r="CN264" s="8"/>
      <c r="CO264" s="8"/>
      <c r="CP264" s="8"/>
      <c r="CQ264" s="8"/>
      <c r="CR264" s="8"/>
      <c r="CS264" s="8"/>
      <c r="CT264" s="8"/>
      <c r="CU264" s="8"/>
      <c r="CV264" s="8"/>
      <c r="CW264" s="8"/>
      <c r="CX264" s="8"/>
      <c r="CY264" s="8"/>
      <c r="CZ264" s="8"/>
    </row>
    <row r="265" spans="82:104" x14ac:dyDescent="0.2">
      <c r="CD265" s="8"/>
      <c r="CE265" s="8"/>
      <c r="CF265" s="8"/>
      <c r="CG265" s="8"/>
      <c r="CH265" s="8"/>
      <c r="CI265" s="8"/>
      <c r="CJ265" s="8"/>
      <c r="CK265" s="8"/>
      <c r="CL265" s="8"/>
      <c r="CM265" s="8"/>
      <c r="CN265" s="8"/>
      <c r="CO265" s="8"/>
      <c r="CP265" s="8"/>
      <c r="CQ265" s="8"/>
      <c r="CR265" s="8"/>
      <c r="CS265" s="8"/>
      <c r="CT265" s="8"/>
      <c r="CU265" s="8"/>
      <c r="CV265" s="8"/>
      <c r="CW265" s="8"/>
      <c r="CX265" s="8"/>
      <c r="CY265" s="8"/>
      <c r="CZ265" s="8"/>
    </row>
    <row r="266" spans="82:104" x14ac:dyDescent="0.2">
      <c r="CD266" s="8"/>
      <c r="CE266" s="8"/>
      <c r="CF266" s="8"/>
      <c r="CG266" s="8"/>
      <c r="CH266" s="8"/>
      <c r="CI266" s="8"/>
      <c r="CJ266" s="8"/>
      <c r="CK266" s="8"/>
      <c r="CL266" s="8"/>
      <c r="CM266" s="8"/>
      <c r="CN266" s="8"/>
      <c r="CO266" s="8"/>
      <c r="CP266" s="8"/>
      <c r="CQ266" s="8"/>
      <c r="CR266" s="8"/>
      <c r="CS266" s="8"/>
      <c r="CT266" s="8"/>
      <c r="CU266" s="8"/>
      <c r="CV266" s="8"/>
      <c r="CW266" s="8"/>
      <c r="CX266" s="8"/>
      <c r="CY266" s="8"/>
      <c r="CZ266" s="8"/>
    </row>
    <row r="267" spans="82:104" x14ac:dyDescent="0.2">
      <c r="CD267" s="8"/>
      <c r="CE267" s="8"/>
      <c r="CF267" s="8"/>
      <c r="CG267" s="8"/>
      <c r="CH267" s="8"/>
      <c r="CI267" s="8"/>
      <c r="CJ267" s="8"/>
      <c r="CK267" s="8"/>
      <c r="CL267" s="8"/>
      <c r="CM267" s="8"/>
      <c r="CN267" s="8"/>
      <c r="CO267" s="8"/>
      <c r="CP267" s="8"/>
      <c r="CQ267" s="8"/>
      <c r="CR267" s="8"/>
      <c r="CS267" s="8"/>
      <c r="CT267" s="8"/>
      <c r="CU267" s="8"/>
      <c r="CV267" s="8"/>
      <c r="CW267" s="8"/>
      <c r="CX267" s="8"/>
      <c r="CY267" s="8"/>
      <c r="CZ267" s="8"/>
    </row>
    <row r="268" spans="82:104" x14ac:dyDescent="0.2">
      <c r="CD268" s="8"/>
      <c r="CE268" s="8"/>
      <c r="CF268" s="8"/>
      <c r="CG268" s="8"/>
      <c r="CH268" s="8"/>
      <c r="CI268" s="8"/>
      <c r="CJ268" s="8"/>
      <c r="CK268" s="8"/>
      <c r="CL268" s="8"/>
      <c r="CM268" s="8"/>
      <c r="CN268" s="8"/>
      <c r="CO268" s="8"/>
      <c r="CP268" s="8"/>
      <c r="CQ268" s="8"/>
      <c r="CR268" s="8"/>
      <c r="CS268" s="8"/>
      <c r="CT268" s="8"/>
      <c r="CU268" s="8"/>
      <c r="CV268" s="8"/>
      <c r="CW268" s="8"/>
      <c r="CX268" s="8"/>
      <c r="CY268" s="8"/>
      <c r="CZ268" s="8"/>
    </row>
    <row r="269" spans="82:104" x14ac:dyDescent="0.2">
      <c r="CD269" s="8"/>
      <c r="CE269" s="8"/>
      <c r="CF269" s="8"/>
      <c r="CG269" s="8"/>
      <c r="CH269" s="8"/>
      <c r="CI269" s="8"/>
      <c r="CJ269" s="8"/>
      <c r="CK269" s="8"/>
      <c r="CL269" s="8"/>
      <c r="CM269" s="8"/>
      <c r="CN269" s="8"/>
      <c r="CO269" s="8"/>
      <c r="CP269" s="8"/>
      <c r="CQ269" s="8"/>
      <c r="CR269" s="8"/>
      <c r="CS269" s="8"/>
      <c r="CT269" s="8"/>
      <c r="CU269" s="8"/>
      <c r="CV269" s="8"/>
      <c r="CW269" s="8"/>
      <c r="CX269" s="8"/>
      <c r="CY269" s="8"/>
      <c r="CZ269" s="8"/>
    </row>
    <row r="270" spans="82:104" x14ac:dyDescent="0.2">
      <c r="CD270" s="8"/>
      <c r="CE270" s="8"/>
      <c r="CF270" s="8"/>
      <c r="CG270" s="8"/>
      <c r="CH270" s="8"/>
      <c r="CI270" s="8"/>
      <c r="CJ270" s="8"/>
      <c r="CK270" s="8"/>
      <c r="CL270" s="8"/>
      <c r="CM270" s="8"/>
      <c r="CN270" s="8"/>
      <c r="CO270" s="8"/>
      <c r="CP270" s="8"/>
      <c r="CQ270" s="8"/>
      <c r="CR270" s="8"/>
      <c r="CS270" s="8"/>
      <c r="CT270" s="8"/>
      <c r="CU270" s="8"/>
      <c r="CV270" s="8"/>
      <c r="CW270" s="8"/>
      <c r="CX270" s="8"/>
      <c r="CY270" s="8"/>
      <c r="CZ270" s="8"/>
    </row>
    <row r="271" spans="82:104" x14ac:dyDescent="0.2">
      <c r="CD271" s="8"/>
      <c r="CE271" s="8"/>
      <c r="CF271" s="8"/>
      <c r="CG271" s="8"/>
      <c r="CH271" s="8"/>
      <c r="CI271" s="8"/>
      <c r="CJ271" s="8"/>
      <c r="CK271" s="8"/>
      <c r="CL271" s="8"/>
      <c r="CM271" s="8"/>
      <c r="CN271" s="8"/>
      <c r="CO271" s="8"/>
      <c r="CP271" s="8"/>
      <c r="CQ271" s="8"/>
      <c r="CR271" s="8"/>
      <c r="CS271" s="8"/>
      <c r="CT271" s="8"/>
      <c r="CU271" s="8"/>
      <c r="CV271" s="8"/>
      <c r="CW271" s="8"/>
      <c r="CX271" s="8"/>
      <c r="CY271" s="8"/>
      <c r="CZ271" s="8"/>
    </row>
    <row r="272" spans="82:104" ht="12.75" customHeight="1" x14ac:dyDescent="0.2">
      <c r="CD272" s="8"/>
      <c r="CE272" s="8"/>
      <c r="CF272" s="8"/>
      <c r="CG272" s="8"/>
      <c r="CH272" s="8"/>
      <c r="CI272" s="8"/>
      <c r="CJ272" s="8"/>
      <c r="CK272" s="8"/>
      <c r="CL272" s="8"/>
      <c r="CM272" s="8"/>
      <c r="CN272" s="8"/>
      <c r="CO272" s="8"/>
      <c r="CP272" s="8"/>
      <c r="CQ272" s="8"/>
      <c r="CR272" s="8"/>
      <c r="CS272" s="8"/>
      <c r="CT272" s="8"/>
      <c r="CU272" s="8"/>
      <c r="CV272" s="8"/>
      <c r="CW272" s="8"/>
      <c r="CX272" s="8"/>
      <c r="CY272" s="8"/>
      <c r="CZ272" s="8"/>
    </row>
    <row r="273" spans="82:104" x14ac:dyDescent="0.2">
      <c r="CD273" s="8"/>
      <c r="CE273" s="8"/>
      <c r="CF273" s="8"/>
      <c r="CG273" s="8"/>
      <c r="CH273" s="8"/>
      <c r="CI273" s="8"/>
      <c r="CJ273" s="8"/>
      <c r="CK273" s="8"/>
      <c r="CL273" s="8"/>
      <c r="CM273" s="8"/>
      <c r="CN273" s="8"/>
      <c r="CO273" s="8"/>
      <c r="CP273" s="8"/>
      <c r="CQ273" s="8"/>
      <c r="CR273" s="8"/>
      <c r="CS273" s="8"/>
      <c r="CT273" s="8"/>
      <c r="CU273" s="8"/>
      <c r="CV273" s="8"/>
      <c r="CW273" s="8"/>
      <c r="CX273" s="8"/>
      <c r="CY273" s="8"/>
      <c r="CZ273" s="8"/>
    </row>
    <row r="274" spans="82:104" x14ac:dyDescent="0.2">
      <c r="CD274" s="8"/>
      <c r="CE274" s="8"/>
      <c r="CF274" s="8"/>
      <c r="CG274" s="8"/>
      <c r="CH274" s="8"/>
      <c r="CI274" s="8"/>
      <c r="CJ274" s="8"/>
      <c r="CK274" s="8"/>
      <c r="CL274" s="8"/>
      <c r="CM274" s="8"/>
      <c r="CN274" s="8"/>
      <c r="CO274" s="8"/>
      <c r="CP274" s="8"/>
      <c r="CQ274" s="8"/>
      <c r="CR274" s="8"/>
      <c r="CS274" s="8"/>
      <c r="CT274" s="8"/>
      <c r="CU274" s="8"/>
      <c r="CV274" s="8"/>
      <c r="CW274" s="8"/>
      <c r="CX274" s="8"/>
      <c r="CY274" s="8"/>
      <c r="CZ274" s="8"/>
    </row>
    <row r="275" spans="82:104" x14ac:dyDescent="0.2">
      <c r="CD275" s="8"/>
      <c r="CE275" s="8"/>
      <c r="CF275" s="8"/>
      <c r="CG275" s="8"/>
      <c r="CH275" s="8"/>
      <c r="CI275" s="8"/>
      <c r="CJ275" s="8"/>
      <c r="CK275" s="8"/>
      <c r="CL275" s="8"/>
      <c r="CM275" s="8"/>
      <c r="CN275" s="8"/>
      <c r="CO275" s="8"/>
      <c r="CP275" s="8"/>
      <c r="CQ275" s="8"/>
      <c r="CR275" s="8"/>
      <c r="CS275" s="8"/>
      <c r="CT275" s="8"/>
      <c r="CU275" s="8"/>
      <c r="CV275" s="8"/>
      <c r="CW275" s="8"/>
      <c r="CX275" s="8"/>
      <c r="CY275" s="8"/>
      <c r="CZ275" s="8"/>
    </row>
    <row r="276" spans="82:104" x14ac:dyDescent="0.2">
      <c r="CD276" s="8"/>
      <c r="CE276" s="8"/>
      <c r="CF276" s="8"/>
      <c r="CG276" s="8"/>
      <c r="CH276" s="8"/>
      <c r="CI276" s="8"/>
      <c r="CJ276" s="8"/>
      <c r="CK276" s="8"/>
      <c r="CL276" s="8"/>
      <c r="CM276" s="8"/>
      <c r="CN276" s="8"/>
      <c r="CO276" s="8"/>
      <c r="CP276" s="8"/>
      <c r="CQ276" s="8"/>
      <c r="CR276" s="8"/>
      <c r="CS276" s="8"/>
      <c r="CT276" s="8"/>
      <c r="CU276" s="8"/>
      <c r="CV276" s="8"/>
      <c r="CW276" s="8"/>
      <c r="CX276" s="8"/>
      <c r="CY276" s="8"/>
      <c r="CZ276" s="8"/>
    </row>
    <row r="277" spans="82:104" x14ac:dyDescent="0.2">
      <c r="CD277" s="8"/>
      <c r="CE277" s="8"/>
      <c r="CF277" s="8"/>
      <c r="CG277" s="8"/>
      <c r="CH277" s="8"/>
      <c r="CI277" s="8"/>
      <c r="CJ277" s="8"/>
      <c r="CK277" s="8"/>
      <c r="CL277" s="8"/>
      <c r="CM277" s="8"/>
      <c r="CN277" s="8"/>
      <c r="CO277" s="8"/>
      <c r="CP277" s="8"/>
      <c r="CQ277" s="8"/>
      <c r="CR277" s="8"/>
      <c r="CS277" s="8"/>
      <c r="CT277" s="8"/>
      <c r="CU277" s="8"/>
      <c r="CV277" s="8"/>
      <c r="CW277" s="8"/>
      <c r="CX277" s="8"/>
      <c r="CY277" s="8"/>
      <c r="CZ277" s="8"/>
    </row>
    <row r="278" spans="82:104" x14ac:dyDescent="0.2">
      <c r="CD278" s="8"/>
      <c r="CE278" s="8"/>
      <c r="CF278" s="8"/>
      <c r="CG278" s="8"/>
      <c r="CH278" s="8"/>
      <c r="CI278" s="8"/>
      <c r="CJ278" s="8"/>
      <c r="CK278" s="8"/>
      <c r="CL278" s="8"/>
      <c r="CM278" s="8"/>
      <c r="CN278" s="8"/>
      <c r="CO278" s="8"/>
      <c r="CP278" s="8"/>
      <c r="CQ278" s="8"/>
      <c r="CR278" s="8"/>
      <c r="CS278" s="8"/>
      <c r="CT278" s="8"/>
      <c r="CU278" s="8"/>
      <c r="CV278" s="8"/>
      <c r="CW278" s="8"/>
      <c r="CX278" s="8"/>
      <c r="CY278" s="8"/>
      <c r="CZ278" s="8"/>
    </row>
    <row r="279" spans="82:104" x14ac:dyDescent="0.2">
      <c r="CD279" s="8"/>
      <c r="CE279" s="8"/>
      <c r="CF279" s="8"/>
      <c r="CG279" s="8"/>
      <c r="CH279" s="8"/>
      <c r="CI279" s="8"/>
      <c r="CJ279" s="8"/>
      <c r="CK279" s="8"/>
      <c r="CL279" s="8"/>
      <c r="CM279" s="8"/>
      <c r="CN279" s="8"/>
      <c r="CO279" s="8"/>
      <c r="CP279" s="8"/>
      <c r="CQ279" s="8"/>
      <c r="CR279" s="8"/>
      <c r="CS279" s="8"/>
      <c r="CT279" s="8"/>
      <c r="CU279" s="8"/>
      <c r="CV279" s="8"/>
      <c r="CW279" s="8"/>
      <c r="CX279" s="8"/>
      <c r="CY279" s="8"/>
      <c r="CZ279" s="8"/>
    </row>
    <row r="280" spans="82:104" x14ac:dyDescent="0.2">
      <c r="CD280" s="8"/>
      <c r="CE280" s="8"/>
      <c r="CF280" s="8"/>
      <c r="CG280" s="8"/>
      <c r="CH280" s="8"/>
      <c r="CI280" s="8"/>
      <c r="CJ280" s="8"/>
      <c r="CK280" s="8"/>
      <c r="CL280" s="8"/>
      <c r="CM280" s="8"/>
      <c r="CN280" s="8"/>
      <c r="CO280" s="8"/>
      <c r="CP280" s="8"/>
      <c r="CQ280" s="8"/>
      <c r="CR280" s="8"/>
      <c r="CS280" s="8"/>
      <c r="CT280" s="8"/>
      <c r="CU280" s="8"/>
      <c r="CV280" s="8"/>
      <c r="CW280" s="8"/>
      <c r="CX280" s="8"/>
      <c r="CY280" s="8"/>
      <c r="CZ280" s="8"/>
    </row>
    <row r="281" spans="82:104" x14ac:dyDescent="0.2">
      <c r="CD281" s="8"/>
      <c r="CE281" s="8"/>
      <c r="CF281" s="8"/>
      <c r="CG281" s="8"/>
      <c r="CH281" s="8"/>
      <c r="CI281" s="8"/>
      <c r="CJ281" s="8"/>
      <c r="CK281" s="8"/>
      <c r="CL281" s="8"/>
      <c r="CM281" s="8"/>
      <c r="CN281" s="8"/>
      <c r="CO281" s="8"/>
      <c r="CP281" s="8"/>
      <c r="CQ281" s="8"/>
      <c r="CR281" s="8"/>
      <c r="CS281" s="8"/>
      <c r="CT281" s="8"/>
      <c r="CU281" s="8"/>
      <c r="CV281" s="8"/>
      <c r="CW281" s="8"/>
      <c r="CX281" s="8"/>
      <c r="CY281" s="8"/>
      <c r="CZ281" s="8"/>
    </row>
    <row r="282" spans="82:104" x14ac:dyDescent="0.2">
      <c r="CD282" s="8"/>
      <c r="CE282" s="8"/>
      <c r="CF282" s="8"/>
      <c r="CG282" s="8"/>
      <c r="CH282" s="8"/>
      <c r="CI282" s="8"/>
      <c r="CJ282" s="8"/>
      <c r="CK282" s="8"/>
      <c r="CL282" s="8"/>
      <c r="CM282" s="8"/>
      <c r="CN282" s="8"/>
      <c r="CO282" s="8"/>
      <c r="CP282" s="8"/>
      <c r="CQ282" s="8"/>
      <c r="CR282" s="8"/>
      <c r="CS282" s="8"/>
      <c r="CT282" s="8"/>
      <c r="CU282" s="8"/>
      <c r="CV282" s="8"/>
      <c r="CW282" s="8"/>
      <c r="CX282" s="8"/>
      <c r="CY282" s="8"/>
      <c r="CZ282" s="8"/>
    </row>
    <row r="283" spans="82:104" x14ac:dyDescent="0.2">
      <c r="CD283" s="8"/>
      <c r="CE283" s="8"/>
      <c r="CF283" s="8"/>
      <c r="CG283" s="8"/>
      <c r="CH283" s="8"/>
      <c r="CI283" s="8"/>
      <c r="CJ283" s="8"/>
      <c r="CK283" s="8"/>
      <c r="CL283" s="8"/>
      <c r="CM283" s="8"/>
      <c r="CN283" s="8"/>
      <c r="CO283" s="8"/>
      <c r="CP283" s="8"/>
      <c r="CQ283" s="8"/>
      <c r="CR283" s="8"/>
      <c r="CS283" s="8"/>
      <c r="CT283" s="8"/>
      <c r="CU283" s="8"/>
      <c r="CV283" s="8"/>
      <c r="CW283" s="8"/>
      <c r="CX283" s="8"/>
      <c r="CY283" s="8"/>
      <c r="CZ283" s="8"/>
    </row>
    <row r="284" spans="82:104" x14ac:dyDescent="0.2">
      <c r="CD284" s="8"/>
      <c r="CE284" s="8"/>
      <c r="CF284" s="8"/>
      <c r="CG284" s="8"/>
      <c r="CH284" s="8"/>
      <c r="CI284" s="8"/>
      <c r="CJ284" s="8"/>
      <c r="CK284" s="8"/>
      <c r="CL284" s="8"/>
      <c r="CM284" s="8"/>
      <c r="CN284" s="8"/>
      <c r="CO284" s="8"/>
      <c r="CP284" s="8"/>
      <c r="CQ284" s="8"/>
      <c r="CR284" s="8"/>
      <c r="CS284" s="8"/>
      <c r="CT284" s="8"/>
      <c r="CU284" s="8"/>
      <c r="CV284" s="8"/>
      <c r="CW284" s="8"/>
      <c r="CX284" s="8"/>
      <c r="CY284" s="8"/>
      <c r="CZ284" s="8"/>
    </row>
    <row r="285" spans="82:104" x14ac:dyDescent="0.2">
      <c r="CD285" s="8"/>
      <c r="CE285" s="8"/>
      <c r="CF285" s="8"/>
      <c r="CG285" s="8"/>
      <c r="CH285" s="8"/>
      <c r="CI285" s="8"/>
      <c r="CJ285" s="8"/>
      <c r="CK285" s="8"/>
      <c r="CL285" s="8"/>
      <c r="CM285" s="8"/>
      <c r="CN285" s="8"/>
      <c r="CO285" s="8"/>
      <c r="CP285" s="8"/>
      <c r="CQ285" s="8"/>
      <c r="CR285" s="8"/>
      <c r="CS285" s="8"/>
      <c r="CT285" s="8"/>
      <c r="CU285" s="8"/>
      <c r="CV285" s="8"/>
      <c r="CW285" s="8"/>
      <c r="CX285" s="8"/>
      <c r="CY285" s="8"/>
      <c r="CZ285" s="8"/>
    </row>
    <row r="286" spans="82:104" x14ac:dyDescent="0.2">
      <c r="CD286" s="8"/>
      <c r="CE286" s="8"/>
      <c r="CF286" s="8"/>
      <c r="CG286" s="8"/>
      <c r="CH286" s="8"/>
      <c r="CI286" s="8"/>
      <c r="CJ286" s="8"/>
      <c r="CK286" s="8"/>
      <c r="CL286" s="8"/>
      <c r="CM286" s="8"/>
      <c r="CN286" s="8"/>
      <c r="CO286" s="8"/>
      <c r="CP286" s="8"/>
      <c r="CQ286" s="8"/>
      <c r="CR286" s="8"/>
      <c r="CS286" s="8"/>
      <c r="CT286" s="8"/>
      <c r="CU286" s="8"/>
      <c r="CV286" s="8"/>
      <c r="CW286" s="8"/>
      <c r="CX286" s="8"/>
      <c r="CY286" s="8"/>
      <c r="CZ286" s="8"/>
    </row>
    <row r="287" spans="82:104" x14ac:dyDescent="0.2">
      <c r="CD287" s="8"/>
      <c r="CE287" s="8"/>
      <c r="CF287" s="8"/>
      <c r="CG287" s="8"/>
      <c r="CH287" s="8"/>
      <c r="CI287" s="8"/>
      <c r="CJ287" s="8"/>
      <c r="CK287" s="8"/>
      <c r="CL287" s="8"/>
      <c r="CM287" s="8"/>
      <c r="CN287" s="8"/>
      <c r="CO287" s="8"/>
      <c r="CP287" s="8"/>
      <c r="CQ287" s="8"/>
      <c r="CR287" s="8"/>
      <c r="CS287" s="8"/>
      <c r="CT287" s="8"/>
      <c r="CU287" s="8"/>
      <c r="CV287" s="8"/>
      <c r="CW287" s="8"/>
      <c r="CX287" s="8"/>
      <c r="CY287" s="8"/>
      <c r="CZ287" s="8"/>
    </row>
    <row r="288" spans="82:104" x14ac:dyDescent="0.2">
      <c r="CD288" s="8"/>
      <c r="CE288" s="8"/>
      <c r="CF288" s="8"/>
      <c r="CG288" s="8"/>
      <c r="CH288" s="8"/>
      <c r="CI288" s="8"/>
      <c r="CJ288" s="8"/>
      <c r="CK288" s="8"/>
      <c r="CL288" s="8"/>
      <c r="CM288" s="8"/>
      <c r="CN288" s="8"/>
      <c r="CO288" s="8"/>
      <c r="CP288" s="8"/>
      <c r="CQ288" s="8"/>
      <c r="CR288" s="8"/>
      <c r="CS288" s="8"/>
      <c r="CT288" s="8"/>
      <c r="CU288" s="8"/>
      <c r="CV288" s="8"/>
      <c r="CW288" s="8"/>
      <c r="CX288" s="8"/>
      <c r="CY288" s="8"/>
      <c r="CZ288" s="8"/>
    </row>
    <row r="289" spans="82:104" x14ac:dyDescent="0.2">
      <c r="CD289" s="8"/>
      <c r="CE289" s="8"/>
      <c r="CF289" s="8"/>
      <c r="CG289" s="8"/>
      <c r="CH289" s="8"/>
      <c r="CI289" s="8"/>
      <c r="CJ289" s="8"/>
      <c r="CK289" s="8"/>
      <c r="CL289" s="8"/>
      <c r="CM289" s="8"/>
      <c r="CN289" s="8"/>
      <c r="CO289" s="8"/>
      <c r="CP289" s="8"/>
      <c r="CQ289" s="8"/>
      <c r="CR289" s="8"/>
      <c r="CS289" s="8"/>
      <c r="CT289" s="8"/>
      <c r="CU289" s="8"/>
      <c r="CV289" s="8"/>
      <c r="CW289" s="8"/>
      <c r="CX289" s="8"/>
      <c r="CY289" s="8"/>
      <c r="CZ289" s="8"/>
    </row>
    <row r="290" spans="82:104" x14ac:dyDescent="0.2">
      <c r="CD290" s="8"/>
      <c r="CE290" s="8"/>
      <c r="CF290" s="8"/>
      <c r="CG290" s="8"/>
      <c r="CH290" s="8"/>
      <c r="CI290" s="8"/>
      <c r="CJ290" s="8"/>
      <c r="CK290" s="8"/>
      <c r="CL290" s="8"/>
      <c r="CM290" s="8"/>
      <c r="CN290" s="8"/>
      <c r="CO290" s="8"/>
      <c r="CP290" s="8"/>
      <c r="CQ290" s="8"/>
      <c r="CR290" s="8"/>
      <c r="CS290" s="8"/>
      <c r="CT290" s="8"/>
      <c r="CU290" s="8"/>
      <c r="CV290" s="8"/>
      <c r="CW290" s="8"/>
      <c r="CX290" s="8"/>
      <c r="CY290" s="8"/>
      <c r="CZ290" s="8"/>
    </row>
    <row r="291" spans="82:104" x14ac:dyDescent="0.2">
      <c r="CD291" s="8"/>
      <c r="CE291" s="8"/>
      <c r="CF291" s="8"/>
      <c r="CG291" s="8"/>
      <c r="CH291" s="8"/>
      <c r="CI291" s="8"/>
      <c r="CJ291" s="8"/>
      <c r="CK291" s="8"/>
      <c r="CL291" s="8"/>
      <c r="CM291" s="8"/>
      <c r="CN291" s="8"/>
      <c r="CO291" s="8"/>
      <c r="CP291" s="8"/>
      <c r="CQ291" s="8"/>
      <c r="CR291" s="8"/>
      <c r="CS291" s="8"/>
      <c r="CT291" s="8"/>
      <c r="CU291" s="8"/>
      <c r="CV291" s="8"/>
      <c r="CW291" s="8"/>
      <c r="CX291" s="8"/>
      <c r="CY291" s="8"/>
      <c r="CZ291" s="8"/>
    </row>
    <row r="292" spans="82:104" x14ac:dyDescent="0.2">
      <c r="CD292" s="8"/>
      <c r="CE292" s="8"/>
      <c r="CF292" s="8"/>
      <c r="CG292" s="8"/>
      <c r="CH292" s="8"/>
      <c r="CI292" s="8"/>
      <c r="CJ292" s="8"/>
      <c r="CK292" s="8"/>
      <c r="CL292" s="8"/>
      <c r="CM292" s="8"/>
      <c r="CN292" s="8"/>
      <c r="CO292" s="8"/>
      <c r="CP292" s="8"/>
      <c r="CQ292" s="8"/>
      <c r="CR292" s="8"/>
      <c r="CS292" s="8"/>
      <c r="CT292" s="8"/>
      <c r="CU292" s="8"/>
      <c r="CV292" s="8"/>
      <c r="CW292" s="8"/>
      <c r="CX292" s="8"/>
      <c r="CY292" s="8"/>
      <c r="CZ292" s="8"/>
    </row>
    <row r="293" spans="82:104" x14ac:dyDescent="0.2">
      <c r="CD293" s="8"/>
      <c r="CE293" s="8"/>
      <c r="CF293" s="8"/>
      <c r="CG293" s="8"/>
      <c r="CH293" s="8"/>
      <c r="CI293" s="8"/>
      <c r="CJ293" s="8"/>
      <c r="CK293" s="8"/>
      <c r="CL293" s="8"/>
      <c r="CM293" s="8"/>
      <c r="CN293" s="8"/>
      <c r="CO293" s="8"/>
      <c r="CP293" s="8"/>
      <c r="CQ293" s="8"/>
      <c r="CR293" s="8"/>
      <c r="CS293" s="8"/>
      <c r="CT293" s="8"/>
      <c r="CU293" s="8"/>
      <c r="CV293" s="8"/>
      <c r="CW293" s="8"/>
      <c r="CX293" s="8"/>
      <c r="CY293" s="8"/>
      <c r="CZ293" s="8"/>
    </row>
    <row r="294" spans="82:104" x14ac:dyDescent="0.2">
      <c r="CD294" s="8"/>
      <c r="CE294" s="8"/>
      <c r="CF294" s="8"/>
      <c r="CG294" s="8"/>
      <c r="CH294" s="8"/>
      <c r="CI294" s="8"/>
      <c r="CJ294" s="8"/>
      <c r="CK294" s="8"/>
      <c r="CL294" s="8"/>
      <c r="CM294" s="8"/>
      <c r="CN294" s="8"/>
      <c r="CO294" s="8"/>
      <c r="CP294" s="8"/>
      <c r="CQ294" s="8"/>
      <c r="CR294" s="8"/>
      <c r="CS294" s="8"/>
      <c r="CT294" s="8"/>
      <c r="CU294" s="8"/>
      <c r="CV294" s="8"/>
      <c r="CW294" s="8"/>
      <c r="CX294" s="8"/>
      <c r="CY294" s="8"/>
      <c r="CZ294" s="8"/>
    </row>
    <row r="295" spans="82:104" x14ac:dyDescent="0.2">
      <c r="CD295" s="8"/>
      <c r="CE295" s="8"/>
      <c r="CF295" s="8"/>
      <c r="CG295" s="8"/>
      <c r="CH295" s="8"/>
      <c r="CI295" s="8"/>
      <c r="CJ295" s="8"/>
      <c r="CK295" s="8"/>
      <c r="CL295" s="8"/>
      <c r="CM295" s="8"/>
      <c r="CN295" s="8"/>
      <c r="CO295" s="8"/>
      <c r="CP295" s="8"/>
      <c r="CQ295" s="8"/>
      <c r="CR295" s="8"/>
      <c r="CS295" s="8"/>
      <c r="CT295" s="8"/>
      <c r="CU295" s="8"/>
      <c r="CV295" s="8"/>
      <c r="CW295" s="8"/>
      <c r="CX295" s="8"/>
      <c r="CY295" s="8"/>
      <c r="CZ295" s="8"/>
    </row>
    <row r="296" spans="82:104" x14ac:dyDescent="0.2">
      <c r="CD296" s="8"/>
      <c r="CE296" s="8"/>
      <c r="CF296" s="8"/>
      <c r="CG296" s="8"/>
      <c r="CH296" s="8"/>
      <c r="CI296" s="8"/>
      <c r="CJ296" s="8"/>
      <c r="CK296" s="8"/>
      <c r="CL296" s="8"/>
      <c r="CM296" s="8"/>
      <c r="CN296" s="8"/>
      <c r="CO296" s="8"/>
      <c r="CP296" s="8"/>
      <c r="CQ296" s="8"/>
      <c r="CR296" s="8"/>
      <c r="CS296" s="8"/>
      <c r="CT296" s="8"/>
      <c r="CU296" s="8"/>
      <c r="CV296" s="8"/>
      <c r="CW296" s="8"/>
      <c r="CX296" s="8"/>
      <c r="CY296" s="8"/>
      <c r="CZ296" s="8"/>
    </row>
    <row r="297" spans="82:104" x14ac:dyDescent="0.2">
      <c r="CD297" s="8"/>
      <c r="CE297" s="8"/>
      <c r="CF297" s="8"/>
      <c r="CG297" s="8"/>
      <c r="CH297" s="8"/>
      <c r="CI297" s="8"/>
      <c r="CJ297" s="8"/>
      <c r="CK297" s="8"/>
      <c r="CL297" s="8"/>
      <c r="CM297" s="8"/>
      <c r="CN297" s="8"/>
      <c r="CO297" s="8"/>
      <c r="CP297" s="8"/>
      <c r="CQ297" s="8"/>
      <c r="CR297" s="8"/>
      <c r="CS297" s="8"/>
      <c r="CT297" s="8"/>
      <c r="CU297" s="8"/>
      <c r="CV297" s="8"/>
      <c r="CW297" s="8"/>
      <c r="CX297" s="8"/>
      <c r="CY297" s="8"/>
      <c r="CZ297" s="8"/>
    </row>
    <row r="298" spans="82:104" x14ac:dyDescent="0.2">
      <c r="CD298" s="8"/>
      <c r="CE298" s="8"/>
      <c r="CF298" s="8"/>
      <c r="CG298" s="8"/>
      <c r="CH298" s="8"/>
      <c r="CI298" s="8"/>
      <c r="CJ298" s="8"/>
      <c r="CK298" s="8"/>
      <c r="CL298" s="8"/>
      <c r="CM298" s="8"/>
      <c r="CN298" s="8"/>
      <c r="CO298" s="8"/>
      <c r="CP298" s="8"/>
      <c r="CQ298" s="8"/>
      <c r="CR298" s="8"/>
      <c r="CS298" s="8"/>
      <c r="CT298" s="8"/>
      <c r="CU298" s="8"/>
      <c r="CV298" s="8"/>
      <c r="CW298" s="8"/>
      <c r="CX298" s="8"/>
      <c r="CY298" s="8"/>
      <c r="CZ298" s="8"/>
    </row>
    <row r="299" spans="82:104" x14ac:dyDescent="0.2">
      <c r="CD299" s="8"/>
      <c r="CE299" s="8"/>
      <c r="CF299" s="8"/>
      <c r="CG299" s="8"/>
      <c r="CH299" s="8"/>
      <c r="CI299" s="8"/>
      <c r="CJ299" s="8"/>
      <c r="CK299" s="8"/>
      <c r="CL299" s="8"/>
      <c r="CM299" s="8"/>
      <c r="CN299" s="8"/>
      <c r="CO299" s="8"/>
      <c r="CP299" s="8"/>
      <c r="CQ299" s="8"/>
      <c r="CR299" s="8"/>
      <c r="CS299" s="8"/>
      <c r="CT299" s="8"/>
      <c r="CU299" s="8"/>
      <c r="CV299" s="8"/>
      <c r="CW299" s="8"/>
      <c r="CX299" s="8"/>
      <c r="CY299" s="8"/>
      <c r="CZ299" s="8"/>
    </row>
    <row r="300" spans="82:104" x14ac:dyDescent="0.2">
      <c r="CD300" s="8"/>
      <c r="CE300" s="8"/>
      <c r="CF300" s="8"/>
      <c r="CG300" s="8"/>
      <c r="CH300" s="8"/>
      <c r="CI300" s="8"/>
      <c r="CJ300" s="8"/>
      <c r="CK300" s="8"/>
      <c r="CL300" s="8"/>
      <c r="CM300" s="8"/>
      <c r="CN300" s="8"/>
      <c r="CO300" s="8"/>
      <c r="CP300" s="8"/>
      <c r="CQ300" s="8"/>
      <c r="CR300" s="8"/>
      <c r="CS300" s="8"/>
      <c r="CT300" s="8"/>
      <c r="CU300" s="8"/>
      <c r="CV300" s="8"/>
      <c r="CW300" s="8"/>
      <c r="CX300" s="8"/>
      <c r="CY300" s="8"/>
      <c r="CZ300" s="8"/>
    </row>
  </sheetData>
  <mergeCells count="1">
    <mergeCell ref="AN65:AO65"/>
  </mergeCells>
  <phoneticPr fontId="3" type="noConversion"/>
  <pageMargins left="0.25" right="0.25" top="0.42" bottom="0.19" header="0.42" footer="0.21"/>
  <pageSetup orientation="landscape" r:id="rId1"/>
  <headerFooter alignWithMargins="0"/>
  <ignoredErrors>
    <ignoredError sqref="AW12:BK12" formula="1"/>
  </ignoredError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x14ac:dyDescent="0.2"/>
  <cols>
    <col min="1" max="1" width="29.5703125" style="548" bestFit="1" customWidth="1"/>
    <col min="2" max="2" width="19.85546875" style="911" customWidth="1"/>
    <col min="3" max="3" width="12" style="548" bestFit="1" customWidth="1"/>
    <col min="4" max="256" width="8.85546875" style="548"/>
    <col min="257" max="257" width="29.5703125" style="548" bestFit="1" customWidth="1"/>
    <col min="258" max="258" width="19.85546875" style="548" customWidth="1"/>
    <col min="259" max="259" width="12" style="548" bestFit="1" customWidth="1"/>
    <col min="260" max="512" width="8.85546875" style="548"/>
    <col min="513" max="513" width="29.5703125" style="548" bestFit="1" customWidth="1"/>
    <col min="514" max="514" width="19.85546875" style="548" customWidth="1"/>
    <col min="515" max="515" width="12" style="548" bestFit="1" customWidth="1"/>
    <col min="516" max="768" width="8.85546875" style="548"/>
    <col min="769" max="769" width="29.5703125" style="548" bestFit="1" customWidth="1"/>
    <col min="770" max="770" width="19.85546875" style="548" customWidth="1"/>
    <col min="771" max="771" width="12" style="548" bestFit="1" customWidth="1"/>
    <col min="772" max="1024" width="8.85546875" style="548"/>
    <col min="1025" max="1025" width="29.5703125" style="548" bestFit="1" customWidth="1"/>
    <col min="1026" max="1026" width="19.85546875" style="548" customWidth="1"/>
    <col min="1027" max="1027" width="12" style="548" bestFit="1" customWidth="1"/>
    <col min="1028" max="1280" width="8.85546875" style="548"/>
    <col min="1281" max="1281" width="29.5703125" style="548" bestFit="1" customWidth="1"/>
    <col min="1282" max="1282" width="19.85546875" style="548" customWidth="1"/>
    <col min="1283" max="1283" width="12" style="548" bestFit="1" customWidth="1"/>
    <col min="1284" max="1536" width="8.85546875" style="548"/>
    <col min="1537" max="1537" width="29.5703125" style="548" bestFit="1" customWidth="1"/>
    <col min="1538" max="1538" width="19.85546875" style="548" customWidth="1"/>
    <col min="1539" max="1539" width="12" style="548" bestFit="1" customWidth="1"/>
    <col min="1540" max="1792" width="8.85546875" style="548"/>
    <col min="1793" max="1793" width="29.5703125" style="548" bestFit="1" customWidth="1"/>
    <col min="1794" max="1794" width="19.85546875" style="548" customWidth="1"/>
    <col min="1795" max="1795" width="12" style="548" bestFit="1" customWidth="1"/>
    <col min="1796" max="2048" width="8.85546875" style="548"/>
    <col min="2049" max="2049" width="29.5703125" style="548" bestFit="1" customWidth="1"/>
    <col min="2050" max="2050" width="19.85546875" style="548" customWidth="1"/>
    <col min="2051" max="2051" width="12" style="548" bestFit="1" customWidth="1"/>
    <col min="2052" max="2304" width="8.85546875" style="548"/>
    <col min="2305" max="2305" width="29.5703125" style="548" bestFit="1" customWidth="1"/>
    <col min="2306" max="2306" width="19.85546875" style="548" customWidth="1"/>
    <col min="2307" max="2307" width="12" style="548" bestFit="1" customWidth="1"/>
    <col min="2308" max="2560" width="8.85546875" style="548"/>
    <col min="2561" max="2561" width="29.5703125" style="548" bestFit="1" customWidth="1"/>
    <col min="2562" max="2562" width="19.85546875" style="548" customWidth="1"/>
    <col min="2563" max="2563" width="12" style="548" bestFit="1" customWidth="1"/>
    <col min="2564" max="2816" width="8.85546875" style="548"/>
    <col min="2817" max="2817" width="29.5703125" style="548" bestFit="1" customWidth="1"/>
    <col min="2818" max="2818" width="19.85546875" style="548" customWidth="1"/>
    <col min="2819" max="2819" width="12" style="548" bestFit="1" customWidth="1"/>
    <col min="2820" max="3072" width="8.85546875" style="548"/>
    <col min="3073" max="3073" width="29.5703125" style="548" bestFit="1" customWidth="1"/>
    <col min="3074" max="3074" width="19.85546875" style="548" customWidth="1"/>
    <col min="3075" max="3075" width="12" style="548" bestFit="1" customWidth="1"/>
    <col min="3076" max="3328" width="8.85546875" style="548"/>
    <col min="3329" max="3329" width="29.5703125" style="548" bestFit="1" customWidth="1"/>
    <col min="3330" max="3330" width="19.85546875" style="548" customWidth="1"/>
    <col min="3331" max="3331" width="12" style="548" bestFit="1" customWidth="1"/>
    <col min="3332" max="3584" width="8.85546875" style="548"/>
    <col min="3585" max="3585" width="29.5703125" style="548" bestFit="1" customWidth="1"/>
    <col min="3586" max="3586" width="19.85546875" style="548" customWidth="1"/>
    <col min="3587" max="3587" width="12" style="548" bestFit="1" customWidth="1"/>
    <col min="3588" max="3840" width="8.85546875" style="548"/>
    <col min="3841" max="3841" width="29.5703125" style="548" bestFit="1" customWidth="1"/>
    <col min="3842" max="3842" width="19.85546875" style="548" customWidth="1"/>
    <col min="3843" max="3843" width="12" style="548" bestFit="1" customWidth="1"/>
    <col min="3844" max="4096" width="8.85546875" style="548"/>
    <col min="4097" max="4097" width="29.5703125" style="548" bestFit="1" customWidth="1"/>
    <col min="4098" max="4098" width="19.85546875" style="548" customWidth="1"/>
    <col min="4099" max="4099" width="12" style="548" bestFit="1" customWidth="1"/>
    <col min="4100" max="4352" width="8.85546875" style="548"/>
    <col min="4353" max="4353" width="29.5703125" style="548" bestFit="1" customWidth="1"/>
    <col min="4354" max="4354" width="19.85546875" style="548" customWidth="1"/>
    <col min="4355" max="4355" width="12" style="548" bestFit="1" customWidth="1"/>
    <col min="4356" max="4608" width="8.85546875" style="548"/>
    <col min="4609" max="4609" width="29.5703125" style="548" bestFit="1" customWidth="1"/>
    <col min="4610" max="4610" width="19.85546875" style="548" customWidth="1"/>
    <col min="4611" max="4611" width="12" style="548" bestFit="1" customWidth="1"/>
    <col min="4612" max="4864" width="8.85546875" style="548"/>
    <col min="4865" max="4865" width="29.5703125" style="548" bestFit="1" customWidth="1"/>
    <col min="4866" max="4866" width="19.85546875" style="548" customWidth="1"/>
    <col min="4867" max="4867" width="12" style="548" bestFit="1" customWidth="1"/>
    <col min="4868" max="5120" width="8.85546875" style="548"/>
    <col min="5121" max="5121" width="29.5703125" style="548" bestFit="1" customWidth="1"/>
    <col min="5122" max="5122" width="19.85546875" style="548" customWidth="1"/>
    <col min="5123" max="5123" width="12" style="548" bestFit="1" customWidth="1"/>
    <col min="5124" max="5376" width="8.85546875" style="548"/>
    <col min="5377" max="5377" width="29.5703125" style="548" bestFit="1" customWidth="1"/>
    <col min="5378" max="5378" width="19.85546875" style="548" customWidth="1"/>
    <col min="5379" max="5379" width="12" style="548" bestFit="1" customWidth="1"/>
    <col min="5380" max="5632" width="8.85546875" style="548"/>
    <col min="5633" max="5633" width="29.5703125" style="548" bestFit="1" customWidth="1"/>
    <col min="5634" max="5634" width="19.85546875" style="548" customWidth="1"/>
    <col min="5635" max="5635" width="12" style="548" bestFit="1" customWidth="1"/>
    <col min="5636" max="5888" width="8.85546875" style="548"/>
    <col min="5889" max="5889" width="29.5703125" style="548" bestFit="1" customWidth="1"/>
    <col min="5890" max="5890" width="19.85546875" style="548" customWidth="1"/>
    <col min="5891" max="5891" width="12" style="548" bestFit="1" customWidth="1"/>
    <col min="5892" max="6144" width="8.85546875" style="548"/>
    <col min="6145" max="6145" width="29.5703125" style="548" bestFit="1" customWidth="1"/>
    <col min="6146" max="6146" width="19.85546875" style="548" customWidth="1"/>
    <col min="6147" max="6147" width="12" style="548" bestFit="1" customWidth="1"/>
    <col min="6148" max="6400" width="8.85546875" style="548"/>
    <col min="6401" max="6401" width="29.5703125" style="548" bestFit="1" customWidth="1"/>
    <col min="6402" max="6402" width="19.85546875" style="548" customWidth="1"/>
    <col min="6403" max="6403" width="12" style="548" bestFit="1" customWidth="1"/>
    <col min="6404" max="6656" width="8.85546875" style="548"/>
    <col min="6657" max="6657" width="29.5703125" style="548" bestFit="1" customWidth="1"/>
    <col min="6658" max="6658" width="19.85546875" style="548" customWidth="1"/>
    <col min="6659" max="6659" width="12" style="548" bestFit="1" customWidth="1"/>
    <col min="6660" max="6912" width="8.85546875" style="548"/>
    <col min="6913" max="6913" width="29.5703125" style="548" bestFit="1" customWidth="1"/>
    <col min="6914" max="6914" width="19.85546875" style="548" customWidth="1"/>
    <col min="6915" max="6915" width="12" style="548" bestFit="1" customWidth="1"/>
    <col min="6916" max="7168" width="8.85546875" style="548"/>
    <col min="7169" max="7169" width="29.5703125" style="548" bestFit="1" customWidth="1"/>
    <col min="7170" max="7170" width="19.85546875" style="548" customWidth="1"/>
    <col min="7171" max="7171" width="12" style="548" bestFit="1" customWidth="1"/>
    <col min="7172" max="7424" width="8.85546875" style="548"/>
    <col min="7425" max="7425" width="29.5703125" style="548" bestFit="1" customWidth="1"/>
    <col min="7426" max="7426" width="19.85546875" style="548" customWidth="1"/>
    <col min="7427" max="7427" width="12" style="548" bestFit="1" customWidth="1"/>
    <col min="7428" max="7680" width="8.85546875" style="548"/>
    <col min="7681" max="7681" width="29.5703125" style="548" bestFit="1" customWidth="1"/>
    <col min="7682" max="7682" width="19.85546875" style="548" customWidth="1"/>
    <col min="7683" max="7683" width="12" style="548" bestFit="1" customWidth="1"/>
    <col min="7684" max="7936" width="8.85546875" style="548"/>
    <col min="7937" max="7937" width="29.5703125" style="548" bestFit="1" customWidth="1"/>
    <col min="7938" max="7938" width="19.85546875" style="548" customWidth="1"/>
    <col min="7939" max="7939" width="12" style="548" bestFit="1" customWidth="1"/>
    <col min="7940" max="8192" width="8.85546875" style="548"/>
    <col min="8193" max="8193" width="29.5703125" style="548" bestFit="1" customWidth="1"/>
    <col min="8194" max="8194" width="19.85546875" style="548" customWidth="1"/>
    <col min="8195" max="8195" width="12" style="548" bestFit="1" customWidth="1"/>
    <col min="8196" max="8448" width="8.85546875" style="548"/>
    <col min="8449" max="8449" width="29.5703125" style="548" bestFit="1" customWidth="1"/>
    <col min="8450" max="8450" width="19.85546875" style="548" customWidth="1"/>
    <col min="8451" max="8451" width="12" style="548" bestFit="1" customWidth="1"/>
    <col min="8452" max="8704" width="8.85546875" style="548"/>
    <col min="8705" max="8705" width="29.5703125" style="548" bestFit="1" customWidth="1"/>
    <col min="8706" max="8706" width="19.85546875" style="548" customWidth="1"/>
    <col min="8707" max="8707" width="12" style="548" bestFit="1" customWidth="1"/>
    <col min="8708" max="8960" width="8.85546875" style="548"/>
    <col min="8961" max="8961" width="29.5703125" style="548" bestFit="1" customWidth="1"/>
    <col min="8962" max="8962" width="19.85546875" style="548" customWidth="1"/>
    <col min="8963" max="8963" width="12" style="548" bestFit="1" customWidth="1"/>
    <col min="8964" max="9216" width="8.85546875" style="548"/>
    <col min="9217" max="9217" width="29.5703125" style="548" bestFit="1" customWidth="1"/>
    <col min="9218" max="9218" width="19.85546875" style="548" customWidth="1"/>
    <col min="9219" max="9219" width="12" style="548" bestFit="1" customWidth="1"/>
    <col min="9220" max="9472" width="8.85546875" style="548"/>
    <col min="9473" max="9473" width="29.5703125" style="548" bestFit="1" customWidth="1"/>
    <col min="9474" max="9474" width="19.85546875" style="548" customWidth="1"/>
    <col min="9475" max="9475" width="12" style="548" bestFit="1" customWidth="1"/>
    <col min="9476" max="9728" width="8.85546875" style="548"/>
    <col min="9729" max="9729" width="29.5703125" style="548" bestFit="1" customWidth="1"/>
    <col min="9730" max="9730" width="19.85546875" style="548" customWidth="1"/>
    <col min="9731" max="9731" width="12" style="548" bestFit="1" customWidth="1"/>
    <col min="9732" max="9984" width="8.85546875" style="548"/>
    <col min="9985" max="9985" width="29.5703125" style="548" bestFit="1" customWidth="1"/>
    <col min="9986" max="9986" width="19.85546875" style="548" customWidth="1"/>
    <col min="9987" max="9987" width="12" style="548" bestFit="1" customWidth="1"/>
    <col min="9988" max="10240" width="8.85546875" style="548"/>
    <col min="10241" max="10241" width="29.5703125" style="548" bestFit="1" customWidth="1"/>
    <col min="10242" max="10242" width="19.85546875" style="548" customWidth="1"/>
    <col min="10243" max="10243" width="12" style="548" bestFit="1" customWidth="1"/>
    <col min="10244" max="10496" width="8.85546875" style="548"/>
    <col min="10497" max="10497" width="29.5703125" style="548" bestFit="1" customWidth="1"/>
    <col min="10498" max="10498" width="19.85546875" style="548" customWidth="1"/>
    <col min="10499" max="10499" width="12" style="548" bestFit="1" customWidth="1"/>
    <col min="10500" max="10752" width="8.85546875" style="548"/>
    <col min="10753" max="10753" width="29.5703125" style="548" bestFit="1" customWidth="1"/>
    <col min="10754" max="10754" width="19.85546875" style="548" customWidth="1"/>
    <col min="10755" max="10755" width="12" style="548" bestFit="1" customWidth="1"/>
    <col min="10756" max="11008" width="8.85546875" style="548"/>
    <col min="11009" max="11009" width="29.5703125" style="548" bestFit="1" customWidth="1"/>
    <col min="11010" max="11010" width="19.85546875" style="548" customWidth="1"/>
    <col min="11011" max="11011" width="12" style="548" bestFit="1" customWidth="1"/>
    <col min="11012" max="11264" width="8.85546875" style="548"/>
    <col min="11265" max="11265" width="29.5703125" style="548" bestFit="1" customWidth="1"/>
    <col min="11266" max="11266" width="19.85546875" style="548" customWidth="1"/>
    <col min="11267" max="11267" width="12" style="548" bestFit="1" customWidth="1"/>
    <col min="11268" max="11520" width="8.85546875" style="548"/>
    <col min="11521" max="11521" width="29.5703125" style="548" bestFit="1" customWidth="1"/>
    <col min="11522" max="11522" width="19.85546875" style="548" customWidth="1"/>
    <col min="11523" max="11523" width="12" style="548" bestFit="1" customWidth="1"/>
    <col min="11524" max="11776" width="8.85546875" style="548"/>
    <col min="11777" max="11777" width="29.5703125" style="548" bestFit="1" customWidth="1"/>
    <col min="11778" max="11778" width="19.85546875" style="548" customWidth="1"/>
    <col min="11779" max="11779" width="12" style="548" bestFit="1" customWidth="1"/>
    <col min="11780" max="12032" width="8.85546875" style="548"/>
    <col min="12033" max="12033" width="29.5703125" style="548" bestFit="1" customWidth="1"/>
    <col min="12034" max="12034" width="19.85546875" style="548" customWidth="1"/>
    <col min="12035" max="12035" width="12" style="548" bestFit="1" customWidth="1"/>
    <col min="12036" max="12288" width="8.85546875" style="548"/>
    <col min="12289" max="12289" width="29.5703125" style="548" bestFit="1" customWidth="1"/>
    <col min="12290" max="12290" width="19.85546875" style="548" customWidth="1"/>
    <col min="12291" max="12291" width="12" style="548" bestFit="1" customWidth="1"/>
    <col min="12292" max="12544" width="8.85546875" style="548"/>
    <col min="12545" max="12545" width="29.5703125" style="548" bestFit="1" customWidth="1"/>
    <col min="12546" max="12546" width="19.85546875" style="548" customWidth="1"/>
    <col min="12547" max="12547" width="12" style="548" bestFit="1" customWidth="1"/>
    <col min="12548" max="12800" width="8.85546875" style="548"/>
    <col min="12801" max="12801" width="29.5703125" style="548" bestFit="1" customWidth="1"/>
    <col min="12802" max="12802" width="19.85546875" style="548" customWidth="1"/>
    <col min="12803" max="12803" width="12" style="548" bestFit="1" customWidth="1"/>
    <col min="12804" max="13056" width="8.85546875" style="548"/>
    <col min="13057" max="13057" width="29.5703125" style="548" bestFit="1" customWidth="1"/>
    <col min="13058" max="13058" width="19.85546875" style="548" customWidth="1"/>
    <col min="13059" max="13059" width="12" style="548" bestFit="1" customWidth="1"/>
    <col min="13060" max="13312" width="8.85546875" style="548"/>
    <col min="13313" max="13313" width="29.5703125" style="548" bestFit="1" customWidth="1"/>
    <col min="13314" max="13314" width="19.85546875" style="548" customWidth="1"/>
    <col min="13315" max="13315" width="12" style="548" bestFit="1" customWidth="1"/>
    <col min="13316" max="13568" width="8.85546875" style="548"/>
    <col min="13569" max="13569" width="29.5703125" style="548" bestFit="1" customWidth="1"/>
    <col min="13570" max="13570" width="19.85546875" style="548" customWidth="1"/>
    <col min="13571" max="13571" width="12" style="548" bestFit="1" customWidth="1"/>
    <col min="13572" max="13824" width="8.85546875" style="548"/>
    <col min="13825" max="13825" width="29.5703125" style="548" bestFit="1" customWidth="1"/>
    <col min="13826" max="13826" width="19.85546875" style="548" customWidth="1"/>
    <col min="13827" max="13827" width="12" style="548" bestFit="1" customWidth="1"/>
    <col min="13828" max="14080" width="8.85546875" style="548"/>
    <col min="14081" max="14081" width="29.5703125" style="548" bestFit="1" customWidth="1"/>
    <col min="14082" max="14082" width="19.85546875" style="548" customWidth="1"/>
    <col min="14083" max="14083" width="12" style="548" bestFit="1" customWidth="1"/>
    <col min="14084" max="14336" width="8.85546875" style="548"/>
    <col min="14337" max="14337" width="29.5703125" style="548" bestFit="1" customWidth="1"/>
    <col min="14338" max="14338" width="19.85546875" style="548" customWidth="1"/>
    <col min="14339" max="14339" width="12" style="548" bestFit="1" customWidth="1"/>
    <col min="14340" max="14592" width="8.85546875" style="548"/>
    <col min="14593" max="14593" width="29.5703125" style="548" bestFit="1" customWidth="1"/>
    <col min="14594" max="14594" width="19.85546875" style="548" customWidth="1"/>
    <col min="14595" max="14595" width="12" style="548" bestFit="1" customWidth="1"/>
    <col min="14596" max="14848" width="8.85546875" style="548"/>
    <col min="14849" max="14849" width="29.5703125" style="548" bestFit="1" customWidth="1"/>
    <col min="14850" max="14850" width="19.85546875" style="548" customWidth="1"/>
    <col min="14851" max="14851" width="12" style="548" bestFit="1" customWidth="1"/>
    <col min="14852" max="15104" width="8.85546875" style="548"/>
    <col min="15105" max="15105" width="29.5703125" style="548" bestFit="1" customWidth="1"/>
    <col min="15106" max="15106" width="19.85546875" style="548" customWidth="1"/>
    <col min="15107" max="15107" width="12" style="548" bestFit="1" customWidth="1"/>
    <col min="15108" max="15360" width="8.85546875" style="548"/>
    <col min="15361" max="15361" width="29.5703125" style="548" bestFit="1" customWidth="1"/>
    <col min="15362" max="15362" width="19.85546875" style="548" customWidth="1"/>
    <col min="15363" max="15363" width="12" style="548" bestFit="1" customWidth="1"/>
    <col min="15364" max="15616" width="8.85546875" style="548"/>
    <col min="15617" max="15617" width="29.5703125" style="548" bestFit="1" customWidth="1"/>
    <col min="15618" max="15618" width="19.85546875" style="548" customWidth="1"/>
    <col min="15619" max="15619" width="12" style="548" bestFit="1" customWidth="1"/>
    <col min="15620" max="15872" width="8.85546875" style="548"/>
    <col min="15873" max="15873" width="29.5703125" style="548" bestFit="1" customWidth="1"/>
    <col min="15874" max="15874" width="19.85546875" style="548" customWidth="1"/>
    <col min="15875" max="15875" width="12" style="548" bestFit="1" customWidth="1"/>
    <col min="15876" max="16128" width="8.85546875" style="548"/>
    <col min="16129" max="16129" width="29.5703125" style="548" bestFit="1" customWidth="1"/>
    <col min="16130" max="16130" width="19.85546875" style="548" customWidth="1"/>
    <col min="16131" max="16131" width="12" style="548" bestFit="1" customWidth="1"/>
    <col min="16132" max="16384" width="8.85546875" style="548"/>
  </cols>
  <sheetData>
    <row r="1" spans="1:2" x14ac:dyDescent="0.2">
      <c r="A1" s="548" t="s">
        <v>598</v>
      </c>
      <c r="B1" s="910">
        <v>6.1</v>
      </c>
    </row>
    <row r="2" spans="1:2" x14ac:dyDescent="0.2">
      <c r="A2" s="548" t="s">
        <v>599</v>
      </c>
      <c r="B2" s="914">
        <v>43199.354872685188</v>
      </c>
    </row>
    <row r="3" spans="1:2" x14ac:dyDescent="0.2">
      <c r="A3" s="548" t="s">
        <v>600</v>
      </c>
      <c r="B3" s="911" t="s">
        <v>297</v>
      </c>
    </row>
    <row r="4" spans="1:2" x14ac:dyDescent="0.2">
      <c r="A4" s="548" t="s">
        <v>601</v>
      </c>
      <c r="B4" s="911" t="s">
        <v>226</v>
      </c>
    </row>
    <row r="5" spans="1:2" x14ac:dyDescent="0.2">
      <c r="A5" s="548" t="s">
        <v>602</v>
      </c>
      <c r="B5" s="911" t="s">
        <v>603</v>
      </c>
    </row>
    <row r="6" spans="1:2" x14ac:dyDescent="0.2">
      <c r="A6" s="548" t="s">
        <v>604</v>
      </c>
    </row>
    <row r="7" spans="1:2" x14ac:dyDescent="0.2">
      <c r="A7" s="548" t="s">
        <v>605</v>
      </c>
      <c r="B7" s="911" t="s">
        <v>233</v>
      </c>
    </row>
    <row r="8" spans="1:2" x14ac:dyDescent="0.2">
      <c r="A8" s="548" t="s">
        <v>606</v>
      </c>
      <c r="B8" s="911" t="s">
        <v>607</v>
      </c>
    </row>
    <row r="9" spans="1:2" x14ac:dyDescent="0.2">
      <c r="A9" s="548" t="s">
        <v>608</v>
      </c>
      <c r="B9" s="911" t="s">
        <v>645</v>
      </c>
    </row>
    <row r="10" spans="1:2" x14ac:dyDescent="0.2">
      <c r="A10" s="548" t="s">
        <v>609</v>
      </c>
    </row>
    <row r="11" spans="1:2" x14ac:dyDescent="0.2">
      <c r="A11" s="548" t="s">
        <v>610</v>
      </c>
    </row>
    <row r="12" spans="1:2" x14ac:dyDescent="0.2">
      <c r="A12" s="548" t="s">
        <v>611</v>
      </c>
    </row>
    <row r="13" spans="1:2" x14ac:dyDescent="0.2">
      <c r="A13" s="548" t="s">
        <v>612</v>
      </c>
    </row>
    <row r="14" spans="1:2" x14ac:dyDescent="0.2">
      <c r="A14" s="548" t="s">
        <v>613</v>
      </c>
    </row>
    <row r="15" spans="1:2" x14ac:dyDescent="0.2">
      <c r="A15" s="548" t="s">
        <v>614</v>
      </c>
    </row>
    <row r="16" spans="1:2" x14ac:dyDescent="0.2">
      <c r="A16" s="548" t="s">
        <v>615</v>
      </c>
    </row>
    <row r="17" spans="1:4" x14ac:dyDescent="0.2">
      <c r="A17" s="548" t="s">
        <v>616</v>
      </c>
      <c r="B17" s="911" t="s">
        <v>646</v>
      </c>
    </row>
    <row r="18" spans="1:4" x14ac:dyDescent="0.2">
      <c r="A18" s="548" t="s">
        <v>617</v>
      </c>
      <c r="B18" s="911" t="s">
        <v>298</v>
      </c>
    </row>
    <row r="19" spans="1:4" x14ac:dyDescent="0.2">
      <c r="A19" s="548" t="s">
        <v>618</v>
      </c>
      <c r="B19" s="911" t="s">
        <v>232</v>
      </c>
    </row>
    <row r="20" spans="1:4" x14ac:dyDescent="0.2">
      <c r="A20" s="548" t="s">
        <v>619</v>
      </c>
      <c r="B20" s="912" t="s">
        <v>649</v>
      </c>
    </row>
    <row r="21" spans="1:4" x14ac:dyDescent="0.2">
      <c r="A21" s="548" t="s">
        <v>620</v>
      </c>
      <c r="B21" s="911" t="s">
        <v>232</v>
      </c>
    </row>
    <row r="22" spans="1:4" x14ac:dyDescent="0.2">
      <c r="A22" s="548" t="s">
        <v>621</v>
      </c>
      <c r="B22" s="912">
        <v>2170473</v>
      </c>
    </row>
    <row r="23" spans="1:4" x14ac:dyDescent="0.2">
      <c r="A23" s="548" t="s">
        <v>235</v>
      </c>
      <c r="B23" s="910">
        <v>227.19</v>
      </c>
    </row>
    <row r="24" spans="1:4" x14ac:dyDescent="0.2">
      <c r="A24" s="548" t="s">
        <v>234</v>
      </c>
      <c r="B24" s="911" t="s">
        <v>231</v>
      </c>
      <c r="D24" s="548" t="s">
        <v>221</v>
      </c>
    </row>
    <row r="25" spans="1:4" x14ac:dyDescent="0.2">
      <c r="A25" s="548" t="s">
        <v>622</v>
      </c>
      <c r="B25" s="911" t="s">
        <v>650</v>
      </c>
    </row>
    <row r="26" spans="1:4" x14ac:dyDescent="0.2">
      <c r="A26" s="548" t="s">
        <v>623</v>
      </c>
      <c r="B26" s="911">
        <v>0</v>
      </c>
    </row>
    <row r="27" spans="1:4" x14ac:dyDescent="0.2">
      <c r="A27" s="548" t="s">
        <v>624</v>
      </c>
      <c r="B27" s="911" t="s">
        <v>625</v>
      </c>
    </row>
    <row r="28" spans="1:4" x14ac:dyDescent="0.2">
      <c r="A28" s="548" t="s">
        <v>626</v>
      </c>
      <c r="B28" s="911" t="s">
        <v>627</v>
      </c>
    </row>
    <row r="29" spans="1:4" x14ac:dyDescent="0.2">
      <c r="A29" s="548" t="s">
        <v>628</v>
      </c>
    </row>
    <row r="30" spans="1:4" x14ac:dyDescent="0.2">
      <c r="A30" s="548" t="s">
        <v>629</v>
      </c>
    </row>
    <row r="31" spans="1:4" x14ac:dyDescent="0.2">
      <c r="A31" s="548" t="s">
        <v>630</v>
      </c>
    </row>
    <row r="32" spans="1:4" x14ac:dyDescent="0.2">
      <c r="A32" s="548" t="s">
        <v>631</v>
      </c>
      <c r="B32" s="910"/>
    </row>
    <row r="33" spans="1:2" x14ac:dyDescent="0.2">
      <c r="A33" s="548" t="s">
        <v>632</v>
      </c>
      <c r="B33" s="910"/>
    </row>
    <row r="34" spans="1:2" x14ac:dyDescent="0.2">
      <c r="A34" s="548" t="s">
        <v>633</v>
      </c>
      <c r="B34" s="910"/>
    </row>
    <row r="35" spans="1:2" x14ac:dyDescent="0.2">
      <c r="A35" s="548" t="s">
        <v>634</v>
      </c>
      <c r="B35" s="911">
        <v>1000000</v>
      </c>
    </row>
    <row r="36" spans="1:2" x14ac:dyDescent="0.2">
      <c r="A36" s="548" t="s">
        <v>635</v>
      </c>
      <c r="B36" s="911" t="s">
        <v>647</v>
      </c>
    </row>
    <row r="37" spans="1:2" x14ac:dyDescent="0.2">
      <c r="A37" s="548" t="s">
        <v>636</v>
      </c>
      <c r="B37" s="911" t="s">
        <v>637</v>
      </c>
    </row>
    <row r="38" spans="1:2" x14ac:dyDescent="0.2">
      <c r="A38" s="548" t="s">
        <v>638</v>
      </c>
      <c r="B38" s="911" t="s">
        <v>639</v>
      </c>
    </row>
    <row r="39" spans="1:2" x14ac:dyDescent="0.2">
      <c r="A39" s="548" t="s">
        <v>640</v>
      </c>
      <c r="B39" s="911" t="s">
        <v>648</v>
      </c>
    </row>
    <row r="40" spans="1:2" x14ac:dyDescent="0.2">
      <c r="A40" s="548" t="s">
        <v>641</v>
      </c>
      <c r="B40" s="911">
        <v>1500000239</v>
      </c>
    </row>
    <row r="41" spans="1:2" x14ac:dyDescent="0.2">
      <c r="A41" s="548" t="s">
        <v>642</v>
      </c>
      <c r="B41" s="911">
        <v>1</v>
      </c>
    </row>
    <row r="42" spans="1:2" x14ac:dyDescent="0.2">
      <c r="A42" s="913" t="s">
        <v>643</v>
      </c>
    </row>
    <row r="43" spans="1:2" x14ac:dyDescent="0.2">
      <c r="A43" s="548" t="s">
        <v>644</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x14ac:dyDescent="0.2"/>
  <cols>
    <col min="1" max="1" width="28.5703125" style="548" bestFit="1" customWidth="1"/>
    <col min="2" max="256" width="8.85546875" style="548"/>
    <col min="257" max="257" width="28.5703125" style="548" bestFit="1" customWidth="1"/>
    <col min="258" max="512" width="8.85546875" style="548"/>
    <col min="513" max="513" width="28.5703125" style="548" bestFit="1" customWidth="1"/>
    <col min="514" max="768" width="8.85546875" style="548"/>
    <col min="769" max="769" width="28.5703125" style="548" bestFit="1" customWidth="1"/>
    <col min="770" max="1024" width="8.85546875" style="548"/>
    <col min="1025" max="1025" width="28.5703125" style="548" bestFit="1" customWidth="1"/>
    <col min="1026" max="1280" width="8.85546875" style="548"/>
    <col min="1281" max="1281" width="28.5703125" style="548" bestFit="1" customWidth="1"/>
    <col min="1282" max="1536" width="8.85546875" style="548"/>
    <col min="1537" max="1537" width="28.5703125" style="548" bestFit="1" customWidth="1"/>
    <col min="1538" max="1792" width="8.85546875" style="548"/>
    <col min="1793" max="1793" width="28.5703125" style="548" bestFit="1" customWidth="1"/>
    <col min="1794" max="2048" width="8.85546875" style="548"/>
    <col min="2049" max="2049" width="28.5703125" style="548" bestFit="1" customWidth="1"/>
    <col min="2050" max="2304" width="8.85546875" style="548"/>
    <col min="2305" max="2305" width="28.5703125" style="548" bestFit="1" customWidth="1"/>
    <col min="2306" max="2560" width="8.85546875" style="548"/>
    <col min="2561" max="2561" width="28.5703125" style="548" bestFit="1" customWidth="1"/>
    <col min="2562" max="2816" width="8.85546875" style="548"/>
    <col min="2817" max="2817" width="28.5703125" style="548" bestFit="1" customWidth="1"/>
    <col min="2818" max="3072" width="8.85546875" style="548"/>
    <col min="3073" max="3073" width="28.5703125" style="548" bestFit="1" customWidth="1"/>
    <col min="3074" max="3328" width="8.85546875" style="548"/>
    <col min="3329" max="3329" width="28.5703125" style="548" bestFit="1" customWidth="1"/>
    <col min="3330" max="3584" width="8.85546875" style="548"/>
    <col min="3585" max="3585" width="28.5703125" style="548" bestFit="1" customWidth="1"/>
    <col min="3586" max="3840" width="8.85546875" style="548"/>
    <col min="3841" max="3841" width="28.5703125" style="548" bestFit="1" customWidth="1"/>
    <col min="3842" max="4096" width="8.85546875" style="548"/>
    <col min="4097" max="4097" width="28.5703125" style="548" bestFit="1" customWidth="1"/>
    <col min="4098" max="4352" width="8.85546875" style="548"/>
    <col min="4353" max="4353" width="28.5703125" style="548" bestFit="1" customWidth="1"/>
    <col min="4354" max="4608" width="8.85546875" style="548"/>
    <col min="4609" max="4609" width="28.5703125" style="548" bestFit="1" customWidth="1"/>
    <col min="4610" max="4864" width="8.85546875" style="548"/>
    <col min="4865" max="4865" width="28.5703125" style="548" bestFit="1" customWidth="1"/>
    <col min="4866" max="5120" width="8.85546875" style="548"/>
    <col min="5121" max="5121" width="28.5703125" style="548" bestFit="1" customWidth="1"/>
    <col min="5122" max="5376" width="8.85546875" style="548"/>
    <col min="5377" max="5377" width="28.5703125" style="548" bestFit="1" customWidth="1"/>
    <col min="5378" max="5632" width="8.85546875" style="548"/>
    <col min="5633" max="5633" width="28.5703125" style="548" bestFit="1" customWidth="1"/>
    <col min="5634" max="5888" width="8.85546875" style="548"/>
    <col min="5889" max="5889" width="28.5703125" style="548" bestFit="1" customWidth="1"/>
    <col min="5890" max="6144" width="8.85546875" style="548"/>
    <col min="6145" max="6145" width="28.5703125" style="548" bestFit="1" customWidth="1"/>
    <col min="6146" max="6400" width="8.85546875" style="548"/>
    <col min="6401" max="6401" width="28.5703125" style="548" bestFit="1" customWidth="1"/>
    <col min="6402" max="6656" width="8.85546875" style="548"/>
    <col min="6657" max="6657" width="28.5703125" style="548" bestFit="1" customWidth="1"/>
    <col min="6658" max="6912" width="8.85546875" style="548"/>
    <col min="6913" max="6913" width="28.5703125" style="548" bestFit="1" customWidth="1"/>
    <col min="6914" max="7168" width="8.85546875" style="548"/>
    <col min="7169" max="7169" width="28.5703125" style="548" bestFit="1" customWidth="1"/>
    <col min="7170" max="7424" width="8.85546875" style="548"/>
    <col min="7425" max="7425" width="28.5703125" style="548" bestFit="1" customWidth="1"/>
    <col min="7426" max="7680" width="8.85546875" style="548"/>
    <col min="7681" max="7681" width="28.5703125" style="548" bestFit="1" customWidth="1"/>
    <col min="7682" max="7936" width="8.85546875" style="548"/>
    <col min="7937" max="7937" width="28.5703125" style="548" bestFit="1" customWidth="1"/>
    <col min="7938" max="8192" width="8.85546875" style="548"/>
    <col min="8193" max="8193" width="28.5703125" style="548" bestFit="1" customWidth="1"/>
    <col min="8194" max="8448" width="8.85546875" style="548"/>
    <col min="8449" max="8449" width="28.5703125" style="548" bestFit="1" customWidth="1"/>
    <col min="8450" max="8704" width="8.85546875" style="548"/>
    <col min="8705" max="8705" width="28.5703125" style="548" bestFit="1" customWidth="1"/>
    <col min="8706" max="8960" width="8.85546875" style="548"/>
    <col min="8961" max="8961" width="28.5703125" style="548" bestFit="1" customWidth="1"/>
    <col min="8962" max="9216" width="8.85546875" style="548"/>
    <col min="9217" max="9217" width="28.5703125" style="548" bestFit="1" customWidth="1"/>
    <col min="9218" max="9472" width="8.85546875" style="548"/>
    <col min="9473" max="9473" width="28.5703125" style="548" bestFit="1" customWidth="1"/>
    <col min="9474" max="9728" width="8.85546875" style="548"/>
    <col min="9729" max="9729" width="28.5703125" style="548" bestFit="1" customWidth="1"/>
    <col min="9730" max="9984" width="8.85546875" style="548"/>
    <col min="9985" max="9985" width="28.5703125" style="548" bestFit="1" customWidth="1"/>
    <col min="9986" max="10240" width="8.85546875" style="548"/>
    <col min="10241" max="10241" width="28.5703125" style="548" bestFit="1" customWidth="1"/>
    <col min="10242" max="10496" width="8.85546875" style="548"/>
    <col min="10497" max="10497" width="28.5703125" style="548" bestFit="1" customWidth="1"/>
    <col min="10498" max="10752" width="8.85546875" style="548"/>
    <col min="10753" max="10753" width="28.5703125" style="548" bestFit="1" customWidth="1"/>
    <col min="10754" max="11008" width="8.85546875" style="548"/>
    <col min="11009" max="11009" width="28.5703125" style="548" bestFit="1" customWidth="1"/>
    <col min="11010" max="11264" width="8.85546875" style="548"/>
    <col min="11265" max="11265" width="28.5703125" style="548" bestFit="1" customWidth="1"/>
    <col min="11266" max="11520" width="8.85546875" style="548"/>
    <col min="11521" max="11521" width="28.5703125" style="548" bestFit="1" customWidth="1"/>
    <col min="11522" max="11776" width="8.85546875" style="548"/>
    <col min="11777" max="11777" width="28.5703125" style="548" bestFit="1" customWidth="1"/>
    <col min="11778" max="12032" width="8.85546875" style="548"/>
    <col min="12033" max="12033" width="28.5703125" style="548" bestFit="1" customWidth="1"/>
    <col min="12034" max="12288" width="8.85546875" style="548"/>
    <col min="12289" max="12289" width="28.5703125" style="548" bestFit="1" customWidth="1"/>
    <col min="12290" max="12544" width="8.85546875" style="548"/>
    <col min="12545" max="12545" width="28.5703125" style="548" bestFit="1" customWidth="1"/>
    <col min="12546" max="12800" width="8.85546875" style="548"/>
    <col min="12801" max="12801" width="28.5703125" style="548" bestFit="1" customWidth="1"/>
    <col min="12802" max="13056" width="8.85546875" style="548"/>
    <col min="13057" max="13057" width="28.5703125" style="548" bestFit="1" customWidth="1"/>
    <col min="13058" max="13312" width="8.85546875" style="548"/>
    <col min="13313" max="13313" width="28.5703125" style="548" bestFit="1" customWidth="1"/>
    <col min="13314" max="13568" width="8.85546875" style="548"/>
    <col min="13569" max="13569" width="28.5703125" style="548" bestFit="1" customWidth="1"/>
    <col min="13570" max="13824" width="8.85546875" style="548"/>
    <col min="13825" max="13825" width="28.5703125" style="548" bestFit="1" customWidth="1"/>
    <col min="13826" max="14080" width="8.85546875" style="548"/>
    <col min="14081" max="14081" width="28.5703125" style="548" bestFit="1" customWidth="1"/>
    <col min="14082" max="14336" width="8.85546875" style="548"/>
    <col min="14337" max="14337" width="28.5703125" style="548" bestFit="1" customWidth="1"/>
    <col min="14338" max="14592" width="8.85546875" style="548"/>
    <col min="14593" max="14593" width="28.5703125" style="548" bestFit="1" customWidth="1"/>
    <col min="14594" max="14848" width="8.85546875" style="548"/>
    <col min="14849" max="14849" width="28.5703125" style="548" bestFit="1" customWidth="1"/>
    <col min="14850" max="15104" width="8.85546875" style="548"/>
    <col min="15105" max="15105" width="28.5703125" style="548" bestFit="1" customWidth="1"/>
    <col min="15106" max="15360" width="8.85546875" style="548"/>
    <col min="15361" max="15361" width="28.5703125" style="548" bestFit="1" customWidth="1"/>
    <col min="15362" max="15616" width="8.85546875" style="548"/>
    <col min="15617" max="15617" width="28.5703125" style="548" bestFit="1" customWidth="1"/>
    <col min="15618" max="15872" width="8.85546875" style="548"/>
    <col min="15873" max="15873" width="28.5703125" style="548" bestFit="1" customWidth="1"/>
    <col min="15874" max="16128" width="8.85546875" style="548"/>
    <col min="16129" max="16129" width="28.5703125" style="548" bestFit="1" customWidth="1"/>
    <col min="16130" max="16384" width="8.85546875" style="548"/>
  </cols>
  <sheetData>
    <row r="1" spans="1:1" x14ac:dyDescent="0.2">
      <c r="A1" s="915" t="s">
        <v>651</v>
      </c>
    </row>
    <row r="2" spans="1:1" x14ac:dyDescent="0.2">
      <c r="A2" s="915" t="s">
        <v>656</v>
      </c>
    </row>
    <row r="3" spans="1:1" x14ac:dyDescent="0.2">
      <c r="A3" s="915" t="s">
        <v>657</v>
      </c>
    </row>
    <row r="4" spans="1:1" x14ac:dyDescent="0.2">
      <c r="A4" s="915" t="s">
        <v>658</v>
      </c>
    </row>
    <row r="5" spans="1:1" x14ac:dyDescent="0.2">
      <c r="A5" s="915" t="s">
        <v>659</v>
      </c>
    </row>
    <row r="6" spans="1:1" x14ac:dyDescent="0.2">
      <c r="A6" s="915" t="s">
        <v>652</v>
      </c>
    </row>
    <row r="7" spans="1:1" x14ac:dyDescent="0.2">
      <c r="A7" s="915" t="s">
        <v>660</v>
      </c>
    </row>
    <row r="8" spans="1:1" x14ac:dyDescent="0.2">
      <c r="A8" s="915" t="s">
        <v>661</v>
      </c>
    </row>
    <row r="9" spans="1:1" x14ac:dyDescent="0.2">
      <c r="A9" s="915" t="s">
        <v>662</v>
      </c>
    </row>
    <row r="10" spans="1:1" x14ac:dyDescent="0.2">
      <c r="A10" s="915" t="s">
        <v>653</v>
      </c>
    </row>
    <row r="11" spans="1:1" x14ac:dyDescent="0.2">
      <c r="A11" s="915" t="s">
        <v>663</v>
      </c>
    </row>
    <row r="12" spans="1:1" x14ac:dyDescent="0.2">
      <c r="A12" s="915" t="s">
        <v>654</v>
      </c>
    </row>
    <row r="13" spans="1:1" x14ac:dyDescent="0.2">
      <c r="A13" s="915" t="s">
        <v>655</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B1"/>
  <sheetViews>
    <sheetView workbookViewId="0"/>
  </sheetViews>
  <sheetFormatPr defaultRowHeight="12.75" x14ac:dyDescent="0.2"/>
  <sheetData>
    <row r="1" spans="1:2" x14ac:dyDescent="0.2">
      <c r="A1" s="4"/>
      <c r="B1" s="4" t="s">
        <v>240</v>
      </c>
    </row>
  </sheetData>
  <phoneticPr fontId="3"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1</MetadataChanged>
</lkmtd:Metadata>
</file>

<file path=customXml/item2.xml><?xml version="1.0" encoding="utf-8"?>
<lk:Links xmlns:lk="thomsonreuters.linking.metadata">
  <Link>
    <GUID>108cd5d6-23f1-4e9c-997f-d46fdbfd86f2</GUID>
    <SOURCE_ALTADDRESS>$W$41:$AB$63</SOURCE_ALTADDRESS>
    <SOURCETYPE>Table</SOURCETYPE>
    <SOURCE_OBJECTNAME>Linking_Range_32</SOURCE_OBJECTNAME>
    <OBJECTTYPE>Native</OBJECTTYPE>
    <SOURCE_SHEETCODE>Sheet9</SOURCE_SHEETCODE>
    <SOURCE_SHEETNAME>Guidance</SOURCE_SHEETNAME>
    <SOURCEAPPLICATION>EXCEL_SOURCE</SOURCEAPPLICATION>
    <UPDATEDAT>4/15/2015 2:37:05 PM</UPDATEDAT>
    <SOURCE_ISOUTOFDATE>False</SOURCE_ISOUTOFDATE>
    <SOURCE_WORKBOOKNAME>STZ_Model_NEW.xls</SOURCE_WORKBOOKNAME>
    <SOURCE_WORKBOOKPATH>\\MSAD\ROOT\NA\NY\LIB\ER\CONSUMER\STAPLES\STZ\Model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/MSResearch/Content/ExternalAssets/2015-04/Images/kXNxnmbsA0a_5TCJ9EbChg--.png</TARGET_BINARYFULLNAME>
    <TARGET_STORYFULLNAME>/MSResearch/Content/ExternalAssets/2015-04/Sections/20150409_055222_Linking_Range_32.xml</TARGET_STORYFULLNAME>
    <TARGET_UUID>b3ab0b5a-df02-11e4-9cfb-6eb77350c59b</TARGET_UUID>
    <LINKSTATUS>Unknown</LINKSTATUS>
  </Link>
  <Link>
    <GUID>c2985be5-9455-451b-bfb1-65ec0f7e8a4b</GUID>
    <SOURCE_ALTADDRESS>$B$2:$L$62</SOURCE_ALTADDRESS>
    <SOURCETYPE>Table</SOURCETYPE>
    <SOURCE_OBJECTNAME>Linking_Range_7</SOURCE_OBJECTNAME>
    <OBJECTTYPE>Native</OBJECTTYPE>
    <SOURCE_SHEETCODE>Sheet25</SOURCE_SHEETCODE>
    <SOURCE_SHEETNAME>Quarterly Review</SOURCE_SHEETNAME>
    <SOURCEAPPLICATION>EXCEL_SOURCE</SOURCEAPPLICATION>
    <UPDATEDAT>4/15/2015 2:37:15 PM</UPDATEDAT>
    <SOURCE_ISOUTOFDATE>False</SOURCE_ISOUTOFDATE>
    <SOURCE_WORKBOOKNAME>STZ_Model_NEW.xls</SOURCE_WORKBOOKNAME>
    <SOURCE_WORKBOOKPATH>\\MSAD\ROOT\NA\NY\LIB\ER\CONSUMER\STAPLES\STZ\Model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/MSResearch/Content/ExternalAssets/2015-04/Images/E94F6sL3mEiUAfvcY4A5nA--.png</TARGET_BINARYFULLNAME>
    <TARGET_STORYFULLNAME>/MSResearch/Content/ExternalAssets/2015-04/Sections/20150409_081008_Linking_Range_7.xml</TARGET_STORYFULLNAME>
    <TARGET_UUID>5d88aeae-deb1-11e4-9cfb-6eb77350c59b</TARGET_UUID>
    <LINKSTATUS>Unknown</LINKSTATUS>
    <TRANSPARENTBACKGROUND>False</TRANSPARENTBACKGROUND>
    <TRANSPARENTPLOTAREA>False</TRANSPARENTPLOTAREA>
  </Link>
  <Link>
    <GUID>cb548e41-c3ec-4da7-89a3-baf42ecd5b82</GUID>
    <SOURCE_ALTADDRESS>$B$2:$L$63</SOURCE_ALTADDRESS>
    <SOURCETYPE>Table</SOURCETYPE>
    <SOURCE_OBJECTNAME>Linking_Range_33</SOURCE_OBJECTNAME>
    <OBJECTTYPE>Native</OBJECTTYPE>
    <SOURCE_SHEETCODE>Sheet25</SOURCE_SHEETCODE>
    <SOURCE_SHEETNAME>Quarterly Review</SOURCE_SHEETNAME>
    <SOURCEAPPLICATION>EXCEL_SOURCE</SOURCEAPPLICATION>
    <UPDATEDAT>4/15/2015 2:37:24 PM</UPDATEDAT>
    <SOURCE_ISOUTOFDATE>False</SOURCE_ISOUTOFDATE>
    <SOURCE_WORKBOOKNAME>STZ_Model_NEW.xls</SOURCE_WORKBOOKNAME>
    <SOURCE_WORKBOOKPATH>\\MSAD\ROOT\NA\NY\LIB\ER\CONSUMER\STAPLES\STZ\Model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/MSResearch/Content/ExternalAssets/2015-04/Images/Zno1t7Nhz0y-dHKmg3NUMA--.png</TARGET_BINARYFULLNAME>
    <TARGET_STORYFULLNAME>/MSResearch/Content/ExternalAssets/2015-04/Sections/20150409_101108_Linking_Range_33.xml</TARGET_STORYFULLNAME>
    <TARGET_UUID>d9ca975a-df26-11e4-9cfb-6eb77350c59b</TARGET_UUID>
    <LINKSTATUS>Unknown</LINKSTATUS>
  </Link>
  <Link>
    <GUID>2bc20b7b-0ed2-45f3-8dbd-671deb3b6477</GUID>
    <SOURCETYPE>Chart</SOURCETYPE>
    <SOURCE_OBJECTNAME>MWA_Risk_Reward</SOURCE_OBJECTNAME>
    <SOURCE_SHEETCODE>MWRSSData</SOURCE_SHEETCODE>
    <SOURCE_SHEETNAME>MWA RR</SOURCE_SHEETNAME>
    <OBJECTTYPE>Native</OBJECTTYPE>
    <SOURCEAPPLICATION>EXCEL_SOURCE</SOURCEAPPLICATION>
    <UPDATEDAT>5/15/2015 4:35:20 PM</UPDATEDAT>
    <SOURCE_ISOUTOFDATE>False</SOURCE_ISOUTOFDATE>
    <SOURCE_WORKBOOKNAME>STZ_Model_NEW.xls</SOURCE_WORKBOOKNAME>
    <SOURCE_WORKBOOKPATH>\\MSAD\ROOT\NA\NY\LIB\ER\CONSUMER\STAPLES\STZ\Model</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/MSResearch/Content/ExternalAssets/2015-04/Images/8DNKQQUR_0S9yjdLKPr_pw--.png</TARGET_BINARYFULLNAME>
    <TARGET_STORYFULLNAME>/MSResearch/Content/ExternalAssets/2015-04/Sections/20150409_072815_MWA_Risk_Reward.xml</TARGET_STORYFULLNAME>
    <TARGET_UUID>18f53064-df10-11e4-9cfb-6eb77350c59b</TARGET_UUID>
    <LINKSTATUS>Unknown</LINKSTATUS>
  </Link>
</lk:Links>
</file>

<file path=customXml/itemProps1.xml><?xml version="1.0" encoding="utf-8"?>
<ds:datastoreItem xmlns:ds="http://schemas.openxmlformats.org/officeDocument/2006/customXml" ds:itemID="{3DF166B8-B2F8-43B6-91C9-ED0147E2C40D}">
  <ds:schemaRefs>
    <ds:schemaRef ds:uri="thomsonreuters.linking.metadatachange"/>
  </ds:schemaRefs>
</ds:datastoreItem>
</file>

<file path=customXml/itemProps2.xml><?xml version="1.0" encoding="utf-8"?>
<ds:datastoreItem xmlns:ds="http://schemas.openxmlformats.org/officeDocument/2006/customXml" ds:itemID="{090685A9-90A2-4F29-8C54-5C9B32F15290}">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98</vt:i4>
      </vt:variant>
    </vt:vector>
  </HeadingPairs>
  <TitlesOfParts>
    <vt:vector size="105" baseType="lpstr">
      <vt:lpstr>ImportantDisclosures</vt:lpstr>
      <vt:lpstr>CircularReferenceAlert</vt:lpstr>
      <vt:lpstr>CoverSheet</vt:lpstr>
      <vt:lpstr>Financial Statements</vt:lpstr>
      <vt:lpstr>Pro-Forma Segments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Linking_2</vt:lpstr>
      <vt:lpstr>Linking_Range_10</vt:lpstr>
      <vt:lpstr>Linking_Range_11</vt:lpstr>
      <vt:lpstr>Linking_Range_13</vt:lpstr>
      <vt:lpstr>Linking_Range_19</vt:lpstr>
      <vt:lpstr>Linking_Range_20</vt:lpstr>
      <vt:lpstr>Linking_Range_21</vt:lpstr>
      <vt:lpstr>Linking_Range_22</vt:lpstr>
      <vt:lpstr>Linking_Range_23</vt:lpstr>
      <vt:lpstr>Linking_Range_24</vt:lpstr>
      <vt:lpstr>Linking_Range_29</vt:lpstr>
      <vt:lpstr>Linking_Range_3</vt:lpstr>
      <vt:lpstr>Linking_Range_30</vt:lpstr>
      <vt:lpstr>Linking_Range_31</vt:lpstr>
      <vt:lpstr>Linking_Range_4</vt:lpstr>
      <vt:lpstr>Linking_Range_5</vt:lpstr>
      <vt:lpstr>Linking_Range_9</vt:lpstr>
      <vt:lpstr>Linking_Text_1</vt:lpstr>
      <vt:lpstr>Linking_Text_2</vt:lpstr>
      <vt:lpstr>Linking_Text_3</vt:lpstr>
      <vt:lpstr>Linking_Text_4</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CoverSheet!Print_Area</vt:lpstr>
      <vt:lpstr>'Financial Statements'!Print_Area</vt:lpstr>
      <vt:lpstr>'Pro-Forma Segments'!Print_Area</vt:lpstr>
      <vt:lpstr>'Financial Statements'!Print_Titles</vt:lpstr>
      <vt:lpstr>'Pro-Forma Segments'!Print_Titles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2009-12-02T20:52:27Z</dcterms:created>
  <dc:creator>meddan</dc:creator>
  <cp:lastModifiedBy>Boyd, Patrice (Research)</cp:lastModifiedBy>
  <cp:lastPrinted>2017-10-04T21:19:54Z</cp:lastPrinted>
  <dcterms:modified xsi:type="dcterms:W3CDTF">2018-04-09T12:46:22Z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_AdHocReviewCycleID" pid="2">
    <vt:i4>-16627635</vt:i4>
  </property>
  <property fmtid="{D5CDD505-2E9C-101B-9397-08002B2CF9AE}" name="_NewReviewCycle" pid="3">
    <vt:lpwstr/>
  </property>
  <property fmtid="{D5CDD505-2E9C-101B-9397-08002B2CF9AE}" name="_EmailSubject" pid="4">
    <vt:lpwstr/>
  </property>
  <property fmtid="{D5CDD505-2E9C-101B-9397-08002B2CF9AE}" name="_AuthorEmail" pid="5">
    <vt:lpwstr>Dan.Medcalf@morganstanley.com</vt:lpwstr>
  </property>
  <property fmtid="{D5CDD505-2E9C-101B-9397-08002B2CF9AE}" name="_AuthorEmailDisplayName" pid="6">
    <vt:lpwstr>Medcalf, Dan (IDEAS)</vt:lpwstr>
  </property>
  <property fmtid="{D5CDD505-2E9C-101B-9397-08002B2CF9AE}" name="_ReviewingToolsShownOnce" pid="7">
    <vt:lpwstr/>
  </property>
  <property fmtid="{D5CDD505-2E9C-101B-9397-08002B2CF9AE}" name="LinkingAutoNameNumberLinking_Text_" pid="8">
    <vt:lpwstr>4</vt:lpwstr>
  </property>
  <property fmtid="{D5CDD505-2E9C-101B-9397-08002B2CF9AE}" name="LinkingAutoNameNumberLinking_Range_" pid="9">
    <vt:lpwstr>33</vt:lpwstr>
  </property>
  <property fmtid="{D5CDD505-2E9C-101B-9397-08002B2CF9AE}" name="ERModPubTicket" pid="10">
    <vt:lpwstr>NA</vt:lpwstr>
  </property>
  <property fmtid="{D5CDD505-2E9C-101B-9397-08002B2CF9AE}" name="ERCompanyUploadState" pid="11">
    <vt:lpwstr>P</vt:lpwstr>
  </property>
  <property fmtid="{D5CDD505-2E9C-101B-9397-08002B2CF9AE}" name="ModelId" pid="12">
    <vt:lpwstr>760237</vt:lpwstr>
  </property>
  <property fmtid="{D5CDD505-2E9C-101B-9397-08002B2CF9AE}" name="ERModPubCompanyName" pid="13">
    <vt:lpwstr>Constellation Brands Inc</vt:lpwstr>
  </property>
  <property fmtid="{D5CDD505-2E9C-101B-9397-08002B2CF9AE}" name="ERModPubMaxIterations" pid="14">
    <vt:i4>100</vt:i4>
  </property>
  <property fmtid="{D5CDD505-2E9C-101B-9397-08002B2CF9AE}" name="ERModPubMaxChange" pid="15">
    <vt:r8>0.001</vt:r8>
  </property>
  <property fmtid="{D5CDD505-2E9C-101B-9397-08002B2CF9AE}" name="MSDH34TAG" pid="16">
    <vt:lpwstr>.TEZUF76X5TAHATHESADREYAK-00-INB160+*94600-06=e1590558/-3bf1/-11e8/-b3f7/-7a79cfe26848,MD=20180409084700/-0400,ZZ=000Z-c791.</vt:lpwstr>
  </property>
</Properties>
</file>